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W:\Sugar and Sweeteners Outlook\SSYB\SSYB_Tables\"/>
    </mc:Choice>
  </mc:AlternateContent>
  <xr:revisionPtr revIDLastSave="0" documentId="13_ncr:1_{0F718A52-CF3D-4216-A075-EB1A51AED8C4}" xr6:coauthVersionLast="47" xr6:coauthVersionMax="47" xr10:uidLastSave="{00000000-0000-0000-0000-000000000000}"/>
  <bookViews>
    <workbookView xWindow="-120" yWindow="-120" windowWidth="20730" windowHeight="11160" xr2:uid="{00000000-000D-0000-FFFF-FFFF00000000}"/>
  </bookViews>
  <sheets>
    <sheet name="Contents" sheetId="1" r:id="rId1"/>
    <sheet name="Table14" sheetId="13" r:id="rId2"/>
    <sheet name="Table15" sheetId="12" r:id="rId3"/>
    <sheet name="Table16" sheetId="11" r:id="rId4"/>
    <sheet name="Table17" sheetId="10" r:id="rId5"/>
    <sheet name="Table18" sheetId="9" r:id="rId6"/>
    <sheet name="Table19" sheetId="8" r:id="rId7"/>
    <sheet name="Table20a" sheetId="7" r:id="rId8"/>
    <sheet name="Table20b" sheetId="6" r:id="rId9"/>
    <sheet name="Table21" sheetId="5" r:id="rId10"/>
    <sheet name="Table22" sheetId="4" r:id="rId11"/>
  </sheets>
  <definedNames>
    <definedName name="_xlnm.Print_Area" localSheetId="1">Table14!$O$1:$AE$139</definedName>
    <definedName name="_xlnm.Print_Area" localSheetId="2">Table15!$A$1:$J$237</definedName>
    <definedName name="_xlnm.Print_Area" localSheetId="3">Table16!$A$1:$H$67</definedName>
    <definedName name="_xlnm.Print_Area" localSheetId="4">Table17!$A$1:$H$57</definedName>
    <definedName name="_xlnm.Print_Area" localSheetId="5">Table18!$A$1:$U$247</definedName>
    <definedName name="_xlnm.Print_Area" localSheetId="6">Table19!$A$133:$U$269</definedName>
    <definedName name="_xlnm.Print_Area" localSheetId="10">Table22!$A$1:$J$155</definedName>
    <definedName name="_xlnm.Print_Titles" localSheetId="1">Table14!$A:$A,Table14!$1:$1</definedName>
    <definedName name="_xlnm.Print_Titles" localSheetId="2">Table15!$1:$6</definedName>
    <definedName name="_xlnm.Print_Titles" localSheetId="5">Table18!$1:$3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32" i="11" l="1"/>
  <c r="B29" i="11"/>
  <c r="P7" i="10"/>
  <c r="P8" i="10"/>
  <c r="P9" i="10"/>
  <c r="P10" i="10"/>
  <c r="P11" i="10"/>
  <c r="P12" i="10"/>
  <c r="P13" i="10"/>
  <c r="P14" i="10"/>
  <c r="P15" i="10"/>
  <c r="P16" i="10"/>
  <c r="P17" i="10"/>
  <c r="K158" i="9"/>
  <c r="B153" i="9"/>
  <c r="C153" i="9"/>
  <c r="D153" i="9"/>
  <c r="E153" i="9"/>
  <c r="F153" i="9"/>
  <c r="G153" i="9"/>
  <c r="H153" i="9"/>
  <c r="I153" i="9"/>
  <c r="J153" i="9"/>
  <c r="K153" i="9"/>
  <c r="L153" i="9"/>
  <c r="M153" i="9"/>
  <c r="B154" i="9"/>
  <c r="C154" i="9"/>
  <c r="D154" i="9"/>
  <c r="E154" i="9"/>
  <c r="F154" i="9"/>
  <c r="G154" i="9"/>
  <c r="H154" i="9"/>
  <c r="I154" i="9"/>
  <c r="J154" i="9"/>
  <c r="K154" i="9"/>
  <c r="L154" i="9"/>
  <c r="M154" i="9"/>
  <c r="B155" i="9"/>
  <c r="C155" i="9"/>
  <c r="D155" i="9"/>
  <c r="E155" i="9"/>
  <c r="F155" i="9"/>
  <c r="G155" i="9"/>
  <c r="H155" i="9"/>
  <c r="I155" i="9"/>
  <c r="J155" i="9"/>
  <c r="K155" i="9"/>
  <c r="L155" i="9"/>
  <c r="M155" i="9"/>
  <c r="B156" i="9"/>
  <c r="C156" i="9"/>
  <c r="D156" i="9"/>
  <c r="E156" i="9"/>
  <c r="F156" i="9"/>
  <c r="G156" i="9"/>
  <c r="H156" i="9"/>
  <c r="I156" i="9"/>
  <c r="J156" i="9"/>
  <c r="K156" i="9"/>
  <c r="L156" i="9"/>
  <c r="M156" i="9"/>
  <c r="B157" i="9"/>
  <c r="C157" i="9"/>
  <c r="D157" i="9"/>
  <c r="E157" i="9"/>
  <c r="F157" i="9"/>
  <c r="G157" i="9"/>
  <c r="H157" i="9"/>
  <c r="I157" i="9"/>
  <c r="J157" i="9"/>
  <c r="K157" i="9"/>
  <c r="L157" i="9"/>
  <c r="M157" i="9"/>
  <c r="B158" i="9"/>
  <c r="C158" i="9"/>
  <c r="D158" i="9"/>
  <c r="E158" i="9"/>
  <c r="F158" i="9"/>
  <c r="G158" i="9"/>
  <c r="H158" i="9"/>
  <c r="I158" i="9"/>
  <c r="J158" i="9"/>
  <c r="L158" i="9"/>
  <c r="M158" i="9"/>
  <c r="B159" i="9"/>
  <c r="C159" i="9"/>
  <c r="D159" i="9"/>
  <c r="E159" i="9"/>
  <c r="F159" i="9"/>
  <c r="G159" i="9"/>
  <c r="H159" i="9"/>
  <c r="I159" i="9"/>
  <c r="J159" i="9"/>
  <c r="K159" i="9"/>
  <c r="L159" i="9"/>
  <c r="M159" i="9"/>
  <c r="B160" i="9"/>
  <c r="C160" i="9"/>
  <c r="D160" i="9"/>
  <c r="E160" i="9"/>
  <c r="F160" i="9"/>
  <c r="G160" i="9"/>
  <c r="H160" i="9"/>
  <c r="I160" i="9"/>
  <c r="J160" i="9"/>
  <c r="B161" i="9"/>
  <c r="C161" i="9"/>
  <c r="D161" i="9"/>
  <c r="E161" i="9"/>
  <c r="F161" i="9"/>
  <c r="G161" i="9"/>
  <c r="H161" i="9"/>
  <c r="I161" i="9"/>
  <c r="J161" i="9"/>
  <c r="K161" i="9"/>
  <c r="L161" i="9"/>
  <c r="M161" i="9"/>
  <c r="B162" i="9"/>
  <c r="C162" i="9"/>
  <c r="D162" i="9"/>
  <c r="E162" i="9"/>
  <c r="F162" i="9"/>
  <c r="G162" i="9"/>
  <c r="H162" i="9"/>
  <c r="I162" i="9"/>
  <c r="J162" i="9"/>
  <c r="K162" i="9"/>
  <c r="L162" i="9"/>
  <c r="M162" i="9"/>
  <c r="B163" i="9"/>
  <c r="C163" i="9"/>
  <c r="D163" i="9"/>
  <c r="E163" i="9"/>
  <c r="F163" i="9"/>
  <c r="G163" i="9"/>
  <c r="H163" i="9"/>
  <c r="I163" i="9"/>
  <c r="J163" i="9"/>
  <c r="K163" i="9"/>
  <c r="L163" i="9"/>
  <c r="M163" i="9"/>
  <c r="B164" i="9"/>
  <c r="C164" i="9"/>
  <c r="D164" i="9"/>
  <c r="E164" i="9"/>
  <c r="F164" i="9"/>
  <c r="G164" i="9"/>
  <c r="H164" i="9"/>
  <c r="I164" i="9"/>
  <c r="J164" i="9"/>
  <c r="K164" i="9"/>
  <c r="L164" i="9"/>
  <c r="M164" i="9"/>
  <c r="B165" i="9"/>
  <c r="C165" i="9"/>
  <c r="D165" i="9"/>
  <c r="E165" i="9"/>
  <c r="F165" i="9"/>
  <c r="G165" i="9"/>
  <c r="H165" i="9"/>
  <c r="I165" i="9"/>
  <c r="J165" i="9"/>
  <c r="K165" i="9"/>
  <c r="L165" i="9"/>
  <c r="M165" i="9"/>
  <c r="B166" i="9"/>
  <c r="C166" i="9"/>
  <c r="D166" i="9"/>
  <c r="E166" i="9"/>
  <c r="F166" i="9"/>
  <c r="G166" i="9"/>
  <c r="H166" i="9"/>
  <c r="I166" i="9"/>
  <c r="J166" i="9"/>
  <c r="K166" i="9"/>
  <c r="L166" i="9"/>
  <c r="M166" i="9"/>
  <c r="B167" i="9"/>
  <c r="C167" i="9"/>
  <c r="D167" i="9"/>
  <c r="E167" i="9"/>
  <c r="F167" i="9"/>
  <c r="G167" i="9"/>
  <c r="H167" i="9"/>
  <c r="I167" i="9"/>
  <c r="J167" i="9"/>
  <c r="K167" i="9"/>
  <c r="L167" i="9"/>
  <c r="M167" i="9"/>
  <c r="B168" i="9"/>
  <c r="C168" i="9"/>
  <c r="D168" i="9"/>
  <c r="E168" i="9"/>
  <c r="F168" i="9"/>
  <c r="G168" i="9"/>
  <c r="H168" i="9"/>
  <c r="I168" i="9"/>
  <c r="J168" i="9"/>
  <c r="K168" i="9"/>
  <c r="L168" i="9"/>
  <c r="M168" i="9"/>
  <c r="B169" i="9"/>
  <c r="C169" i="9"/>
  <c r="D169" i="9"/>
  <c r="E169" i="9"/>
  <c r="F169" i="9"/>
  <c r="G169" i="9"/>
  <c r="H169" i="9"/>
  <c r="I169" i="9"/>
  <c r="K169" i="9"/>
  <c r="L169" i="9"/>
  <c r="M169" i="9"/>
  <c r="B170" i="9"/>
  <c r="C170" i="9"/>
  <c r="D170" i="9"/>
  <c r="E170" i="9"/>
  <c r="F170" i="9"/>
  <c r="G170" i="9"/>
  <c r="H170" i="9"/>
  <c r="I170" i="9"/>
  <c r="J170" i="9"/>
  <c r="K170" i="9"/>
  <c r="L170" i="9"/>
  <c r="M170" i="9"/>
  <c r="B171" i="9"/>
  <c r="C171" i="9"/>
  <c r="D171" i="9"/>
  <c r="E171" i="9"/>
  <c r="F171" i="9"/>
  <c r="G171" i="9"/>
  <c r="H171" i="9"/>
  <c r="I171" i="9"/>
  <c r="J171" i="9"/>
  <c r="K171" i="9"/>
  <c r="L171" i="9"/>
  <c r="M171" i="9"/>
  <c r="B172" i="9"/>
  <c r="C172" i="9"/>
  <c r="D172" i="9"/>
  <c r="E172" i="9"/>
  <c r="F172" i="9"/>
  <c r="G172" i="9"/>
  <c r="H172" i="9"/>
  <c r="I172" i="9"/>
  <c r="J172" i="9"/>
  <c r="K172" i="9"/>
  <c r="L172" i="9"/>
  <c r="M172" i="9"/>
  <c r="B173" i="9"/>
  <c r="C173" i="9"/>
  <c r="D173" i="9"/>
  <c r="E173" i="9"/>
  <c r="F173" i="9"/>
  <c r="G173" i="9"/>
  <c r="H173" i="9"/>
  <c r="I173" i="9"/>
  <c r="J173" i="9"/>
  <c r="K173" i="9"/>
  <c r="L173" i="9"/>
  <c r="M173" i="9"/>
  <c r="B174" i="9"/>
  <c r="C174" i="9"/>
  <c r="D174" i="9"/>
  <c r="E174" i="9"/>
  <c r="F174" i="9"/>
  <c r="G174" i="9"/>
  <c r="H174" i="9"/>
  <c r="I174" i="9"/>
  <c r="J174" i="9"/>
  <c r="K174" i="9"/>
  <c r="L174" i="9"/>
  <c r="M174" i="9"/>
  <c r="B175" i="9"/>
  <c r="C175" i="9"/>
  <c r="D175" i="9"/>
  <c r="E175" i="9"/>
  <c r="F175" i="9"/>
  <c r="G175" i="9"/>
  <c r="H175" i="9"/>
  <c r="I175" i="9"/>
  <c r="J175" i="9"/>
  <c r="K175" i="9"/>
  <c r="L175" i="9"/>
  <c r="M175" i="9"/>
  <c r="B176" i="9"/>
  <c r="C176" i="9"/>
  <c r="D176" i="9"/>
  <c r="E176" i="9"/>
  <c r="F176" i="9"/>
  <c r="G176" i="9"/>
  <c r="H176" i="9"/>
  <c r="I176" i="9"/>
  <c r="J176" i="9"/>
  <c r="K176" i="9"/>
  <c r="L176" i="9"/>
  <c r="M176" i="9"/>
  <c r="B177" i="9"/>
  <c r="C177" i="9"/>
  <c r="D177" i="9"/>
  <c r="E177" i="9"/>
  <c r="F177" i="9"/>
  <c r="G177" i="9"/>
  <c r="H177" i="9"/>
  <c r="I177" i="9"/>
  <c r="J177" i="9"/>
  <c r="K177" i="9"/>
  <c r="L177" i="9"/>
  <c r="M177" i="9"/>
  <c r="B178" i="9"/>
  <c r="C178" i="9"/>
  <c r="D178" i="9"/>
  <c r="E178" i="9"/>
  <c r="F178" i="9"/>
  <c r="G178" i="9"/>
  <c r="H178" i="9"/>
  <c r="I178" i="9"/>
  <c r="J178" i="9"/>
  <c r="K178" i="9"/>
  <c r="L178" i="9"/>
  <c r="M178" i="9"/>
  <c r="B179" i="9"/>
  <c r="C179" i="9"/>
  <c r="D179" i="9"/>
  <c r="E179" i="9"/>
  <c r="F179" i="9"/>
  <c r="G179" i="9"/>
  <c r="H179" i="9"/>
  <c r="I179" i="9"/>
  <c r="J179" i="9"/>
  <c r="K179" i="9"/>
  <c r="L179" i="9"/>
  <c r="M179" i="9"/>
  <c r="B180" i="9"/>
  <c r="C180" i="9"/>
  <c r="D180" i="9"/>
  <c r="E180" i="9"/>
  <c r="F180" i="9"/>
  <c r="G180" i="9"/>
  <c r="H180" i="9"/>
  <c r="I180" i="9"/>
  <c r="J180" i="9"/>
  <c r="K180" i="9"/>
  <c r="L180" i="9"/>
  <c r="M180" i="9"/>
  <c r="B181" i="9"/>
  <c r="C181" i="9"/>
  <c r="D181" i="9"/>
  <c r="E181" i="9"/>
  <c r="F181" i="9"/>
  <c r="G181" i="9"/>
  <c r="H181" i="9"/>
  <c r="I181" i="9"/>
  <c r="J181" i="9"/>
  <c r="K181" i="9"/>
  <c r="L181" i="9"/>
  <c r="M181" i="9"/>
  <c r="B182" i="9"/>
  <c r="C182" i="9"/>
  <c r="D182" i="9"/>
  <c r="E182" i="9"/>
  <c r="F182" i="9"/>
  <c r="G182" i="9"/>
  <c r="H182" i="9"/>
  <c r="I182" i="9"/>
  <c r="J182" i="9"/>
  <c r="K182" i="9"/>
  <c r="L182" i="9"/>
  <c r="M182" i="9"/>
  <c r="B152" i="9"/>
  <c r="C152" i="9"/>
  <c r="D152" i="9"/>
  <c r="E152" i="9"/>
  <c r="F152" i="9"/>
  <c r="G152" i="9"/>
  <c r="H152" i="9"/>
  <c r="I152" i="9"/>
  <c r="J152" i="9"/>
  <c r="K152" i="9"/>
  <c r="L152" i="9"/>
  <c r="M152" i="9"/>
  <c r="L151" i="9"/>
  <c r="M151" i="9"/>
  <c r="B151" i="9"/>
  <c r="C151" i="9"/>
  <c r="D151" i="9"/>
  <c r="E151" i="9"/>
  <c r="F151" i="9"/>
  <c r="G151" i="9"/>
  <c r="H151" i="9"/>
  <c r="I151" i="9"/>
  <c r="J151" i="9"/>
  <c r="K151" i="9"/>
  <c r="B183" i="9"/>
  <c r="C183" i="9"/>
  <c r="D183" i="9"/>
  <c r="E183" i="9"/>
  <c r="F183" i="9"/>
  <c r="G183" i="9"/>
  <c r="H183" i="9"/>
  <c r="I183" i="9"/>
  <c r="J183" i="9"/>
  <c r="K183" i="9"/>
  <c r="L183" i="9"/>
  <c r="C200" i="9"/>
  <c r="U151" i="9"/>
  <c r="C29" i="11" s="1"/>
  <c r="R193" i="9" l="1"/>
  <c r="P21" i="10"/>
  <c r="P51" i="10"/>
  <c r="P18" i="10"/>
  <c r="R213" i="9" l="1"/>
  <c r="F50" i="10" l="1"/>
  <c r="F49" i="10"/>
  <c r="F48" i="10"/>
  <c r="F47" i="10"/>
  <c r="F46" i="10"/>
  <c r="F45" i="10"/>
  <c r="F44" i="10"/>
  <c r="F43" i="10"/>
  <c r="F42" i="10"/>
  <c r="F41" i="10"/>
  <c r="F40" i="10"/>
  <c r="F39" i="10"/>
  <c r="F38" i="10"/>
  <c r="F37" i="10"/>
  <c r="F36" i="10"/>
  <c r="F35" i="10"/>
  <c r="F34" i="10"/>
  <c r="F33" i="10"/>
  <c r="F32" i="10"/>
  <c r="F31" i="10"/>
  <c r="F30" i="10"/>
  <c r="F29" i="10"/>
  <c r="F28" i="10"/>
  <c r="F27" i="10"/>
  <c r="F26" i="10"/>
  <c r="F25" i="10"/>
  <c r="F24" i="10"/>
  <c r="F23" i="10"/>
  <c r="F22" i="10"/>
  <c r="F21" i="10"/>
  <c r="F20" i="10"/>
  <c r="F19" i="10"/>
  <c r="F51" i="10" l="1"/>
  <c r="N18" i="10"/>
  <c r="N19" i="10"/>
  <c r="N20" i="10"/>
  <c r="N21" i="10"/>
  <c r="N22" i="10"/>
  <c r="N23" i="10"/>
  <c r="N24" i="10"/>
  <c r="N25" i="10"/>
  <c r="N26" i="10"/>
  <c r="N27" i="10"/>
  <c r="N28" i="10"/>
  <c r="N29" i="10"/>
  <c r="N30" i="10"/>
  <c r="N31" i="10"/>
  <c r="N32" i="10"/>
  <c r="N33" i="10"/>
  <c r="N34" i="10"/>
  <c r="N35" i="10"/>
  <c r="N36" i="10"/>
  <c r="N37" i="10"/>
  <c r="N38" i="10"/>
  <c r="N39" i="10"/>
  <c r="N40" i="10"/>
  <c r="N41" i="10"/>
  <c r="N42" i="10"/>
  <c r="N43" i="10"/>
  <c r="N44" i="10"/>
  <c r="N45" i="10"/>
  <c r="N46" i="10"/>
  <c r="N47" i="10"/>
  <c r="N48" i="10"/>
  <c r="N49" i="10"/>
  <c r="N50" i="10"/>
  <c r="Q52" i="9"/>
  <c r="R43" i="9"/>
  <c r="H109" i="12"/>
  <c r="H110" i="12"/>
  <c r="H111" i="12"/>
  <c r="H112" i="12"/>
  <c r="H113" i="12"/>
  <c r="H114" i="12"/>
  <c r="L114" i="12" s="1"/>
  <c r="H115" i="12"/>
  <c r="L115" i="12" s="1"/>
  <c r="H116" i="12"/>
  <c r="H118" i="12"/>
  <c r="H119" i="12"/>
  <c r="H120" i="12"/>
  <c r="L120" i="12" s="1"/>
  <c r="H121" i="12"/>
  <c r="H122" i="12"/>
  <c r="H123" i="12"/>
  <c r="H124" i="12"/>
  <c r="H125" i="12"/>
  <c r="H127" i="12"/>
  <c r="L127" i="12" s="1"/>
  <c r="H128" i="12"/>
  <c r="H129" i="12"/>
  <c r="H130" i="12"/>
  <c r="L130" i="12" s="1"/>
  <c r="H131" i="12"/>
  <c r="H132" i="12"/>
  <c r="H133" i="12"/>
  <c r="H134" i="12"/>
  <c r="H135" i="12"/>
  <c r="H136" i="12"/>
  <c r="H137" i="12"/>
  <c r="H138" i="12"/>
  <c r="L138" i="12" s="1"/>
  <c r="H139" i="12"/>
  <c r="L139" i="12" s="1"/>
  <c r="H108" i="12"/>
  <c r="O43" i="9"/>
  <c r="K109" i="12"/>
  <c r="L131" i="12"/>
  <c r="K107" i="12"/>
  <c r="K108" i="12"/>
  <c r="K110" i="12"/>
  <c r="K111" i="12"/>
  <c r="K112" i="12"/>
  <c r="K113" i="12"/>
  <c r="K114" i="12"/>
  <c r="K115" i="12"/>
  <c r="K116" i="12"/>
  <c r="K117" i="12"/>
  <c r="K118" i="12"/>
  <c r="K119" i="12"/>
  <c r="K120" i="12"/>
  <c r="K121" i="12"/>
  <c r="K122" i="12"/>
  <c r="K123" i="12"/>
  <c r="K124" i="12"/>
  <c r="K126" i="12"/>
  <c r="K127" i="12"/>
  <c r="K128" i="12"/>
  <c r="K129" i="12"/>
  <c r="K130" i="12"/>
  <c r="K131" i="12"/>
  <c r="K132" i="12"/>
  <c r="K133" i="12"/>
  <c r="K134" i="12"/>
  <c r="K135" i="12"/>
  <c r="K136" i="12"/>
  <c r="K137" i="12"/>
  <c r="K138" i="12"/>
  <c r="K139" i="12"/>
  <c r="L108" i="12" l="1"/>
  <c r="L111" i="12"/>
  <c r="L118" i="12"/>
  <c r="L110" i="12"/>
  <c r="L119" i="12"/>
  <c r="L137" i="12"/>
  <c r="L128" i="12"/>
  <c r="L113" i="12"/>
  <c r="L136" i="12"/>
  <c r="L124" i="12"/>
  <c r="K140" i="12"/>
  <c r="L140" i="12" s="1"/>
  <c r="L122" i="12"/>
  <c r="L112" i="12"/>
  <c r="L123" i="12"/>
  <c r="L121" i="12"/>
  <c r="L109" i="12"/>
  <c r="L135" i="12"/>
  <c r="L134" i="12"/>
  <c r="L129" i="12"/>
  <c r="L133" i="12"/>
  <c r="L116" i="12"/>
  <c r="N51" i="10"/>
  <c r="L132" i="12"/>
  <c r="H233" i="12" l="1"/>
  <c r="C53" i="12"/>
  <c r="V492" i="5"/>
  <c r="U492" i="5"/>
  <c r="T492" i="5"/>
  <c r="S492" i="5"/>
  <c r="R492" i="5"/>
  <c r="Q492" i="5"/>
  <c r="P492" i="5"/>
  <c r="O492" i="5"/>
  <c r="H492" i="5"/>
  <c r="N434" i="6" l="1"/>
  <c r="O434" i="6" s="1"/>
  <c r="I434" i="6"/>
  <c r="L242" i="8"/>
  <c r="L140" i="8"/>
  <c r="L251" i="9" l="1"/>
  <c r="U491" i="5"/>
  <c r="T491" i="5"/>
  <c r="S491" i="5"/>
  <c r="R491" i="5"/>
  <c r="Q491" i="5"/>
  <c r="P491" i="5"/>
  <c r="O491" i="5"/>
  <c r="H491" i="5"/>
  <c r="V491" i="5" l="1"/>
  <c r="N433" i="6"/>
  <c r="I433" i="6"/>
  <c r="O433" i="6" l="1"/>
  <c r="K140" i="8" l="1"/>
  <c r="K242" i="8" s="1"/>
  <c r="K251" i="9"/>
  <c r="G140" i="12"/>
  <c r="J140" i="12"/>
  <c r="C140" i="12"/>
  <c r="Q276" i="8"/>
  <c r="Q208" i="8"/>
  <c r="Q174" i="8"/>
  <c r="J140" i="8"/>
  <c r="J242" i="8" s="1"/>
  <c r="Q106" i="8"/>
  <c r="N490" i="5"/>
  <c r="M490" i="5"/>
  <c r="L490" i="5"/>
  <c r="K490" i="5"/>
  <c r="J490" i="5"/>
  <c r="I490" i="5"/>
  <c r="G490" i="5"/>
  <c r="F490" i="5"/>
  <c r="E490" i="5"/>
  <c r="S490" i="5" s="1"/>
  <c r="D490" i="5"/>
  <c r="C490" i="5"/>
  <c r="Q490" i="5" s="1"/>
  <c r="B490" i="5"/>
  <c r="U489" i="5"/>
  <c r="T489" i="5"/>
  <c r="S489" i="5"/>
  <c r="R489" i="5"/>
  <c r="Q489" i="5"/>
  <c r="P489" i="5"/>
  <c r="O489" i="5"/>
  <c r="H489" i="5"/>
  <c r="R490" i="5" l="1"/>
  <c r="U490" i="5"/>
  <c r="T490" i="5"/>
  <c r="O490" i="5"/>
  <c r="H490" i="5"/>
  <c r="P490" i="5"/>
  <c r="V490" i="5" s="1"/>
  <c r="V489" i="5"/>
  <c r="M432" i="6"/>
  <c r="L432" i="6"/>
  <c r="K432" i="6"/>
  <c r="J432" i="6"/>
  <c r="H432" i="6"/>
  <c r="G432" i="6"/>
  <c r="F432" i="6"/>
  <c r="E432" i="6"/>
  <c r="D432" i="6"/>
  <c r="C432" i="6"/>
  <c r="B432" i="6"/>
  <c r="N431" i="6"/>
  <c r="I431" i="6"/>
  <c r="D153" i="4"/>
  <c r="F153" i="4" s="1"/>
  <c r="I153" i="4" s="1"/>
  <c r="F152" i="4"/>
  <c r="I152" i="4" s="1"/>
  <c r="D152" i="4"/>
  <c r="D151" i="4"/>
  <c r="F151" i="4" s="1"/>
  <c r="I151" i="4" s="1"/>
  <c r="D150" i="4"/>
  <c r="F150" i="4" s="1"/>
  <c r="I150" i="4" s="1"/>
  <c r="D149" i="4"/>
  <c r="F149" i="4" s="1"/>
  <c r="I149" i="4" s="1"/>
  <c r="F148" i="4"/>
  <c r="I148" i="4" s="1"/>
  <c r="D148" i="4"/>
  <c r="I147" i="4"/>
  <c r="F147" i="4"/>
  <c r="D147" i="4"/>
  <c r="D146" i="4"/>
  <c r="F146" i="4" s="1"/>
  <c r="I146" i="4" s="1"/>
  <c r="D145" i="4"/>
  <c r="F145" i="4" s="1"/>
  <c r="I145" i="4" s="1"/>
  <c r="F144" i="4"/>
  <c r="I144" i="4" s="1"/>
  <c r="D144" i="4"/>
  <c r="I143" i="4"/>
  <c r="F143" i="4"/>
  <c r="D143" i="4"/>
  <c r="D142" i="4"/>
  <c r="F142" i="4" s="1"/>
  <c r="I142" i="4" s="1"/>
  <c r="D141" i="4"/>
  <c r="F141" i="4" s="1"/>
  <c r="I141" i="4" s="1"/>
  <c r="F140" i="4"/>
  <c r="I140" i="4" s="1"/>
  <c r="D140" i="4"/>
  <c r="I139" i="4"/>
  <c r="F139" i="4"/>
  <c r="D139" i="4"/>
  <c r="D138" i="4"/>
  <c r="F138" i="4" s="1"/>
  <c r="I138" i="4" s="1"/>
  <c r="D137" i="4"/>
  <c r="F137" i="4" s="1"/>
  <c r="I137" i="4" s="1"/>
  <c r="F136" i="4"/>
  <c r="I136" i="4" s="1"/>
  <c r="D136" i="4"/>
  <c r="I135" i="4"/>
  <c r="F135" i="4"/>
  <c r="D135" i="4"/>
  <c r="D134" i="4"/>
  <c r="F134" i="4" s="1"/>
  <c r="I134" i="4" s="1"/>
  <c r="I133" i="4"/>
  <c r="H133" i="4"/>
  <c r="F133" i="4"/>
  <c r="D133" i="4"/>
  <c r="H132" i="4"/>
  <c r="F132" i="4"/>
  <c r="I132" i="4" s="1"/>
  <c r="D132" i="4"/>
  <c r="H131" i="4"/>
  <c r="D131" i="4"/>
  <c r="F131" i="4" s="1"/>
  <c r="I131" i="4" s="1"/>
  <c r="D130" i="4"/>
  <c r="F130" i="4" s="1"/>
  <c r="I130" i="4" s="1"/>
  <c r="F129" i="4"/>
  <c r="I129" i="4" s="1"/>
  <c r="D129" i="4"/>
  <c r="I128" i="4"/>
  <c r="F128" i="4"/>
  <c r="D128" i="4"/>
  <c r="D127" i="4"/>
  <c r="F127" i="4" s="1"/>
  <c r="I127" i="4" s="1"/>
  <c r="D126" i="4"/>
  <c r="F126" i="4" s="1"/>
  <c r="I126" i="4" s="1"/>
  <c r="F125" i="4"/>
  <c r="I125" i="4" s="1"/>
  <c r="D125" i="4"/>
  <c r="I124" i="4"/>
  <c r="F124" i="4"/>
  <c r="D124" i="4"/>
  <c r="F123" i="4"/>
  <c r="I123" i="4" s="1"/>
  <c r="F122" i="4"/>
  <c r="I122" i="4" s="1"/>
  <c r="F121" i="4"/>
  <c r="I121" i="4" s="1"/>
  <c r="I120" i="4"/>
  <c r="D119" i="4"/>
  <c r="F119" i="4" s="1"/>
  <c r="I119" i="4" s="1"/>
  <c r="D116" i="4"/>
  <c r="F116" i="4" s="1"/>
  <c r="I116" i="4" s="1"/>
  <c r="D115" i="4"/>
  <c r="F115" i="4" s="1"/>
  <c r="I115" i="4" s="1"/>
  <c r="F114" i="4"/>
  <c r="I114" i="4" s="1"/>
  <c r="D114" i="4"/>
  <c r="D113" i="4"/>
  <c r="F113" i="4" s="1"/>
  <c r="I113" i="4" s="1"/>
  <c r="D112" i="4"/>
  <c r="F112" i="4" s="1"/>
  <c r="I112" i="4" s="1"/>
  <c r="D111" i="4"/>
  <c r="F111" i="4" s="1"/>
  <c r="I111" i="4" s="1"/>
  <c r="F110" i="4"/>
  <c r="I110" i="4" s="1"/>
  <c r="D110" i="4"/>
  <c r="D109" i="4"/>
  <c r="F109" i="4" s="1"/>
  <c r="I109" i="4" s="1"/>
  <c r="D108" i="4"/>
  <c r="F108" i="4" s="1"/>
  <c r="I108" i="4" s="1"/>
  <c r="D107" i="4"/>
  <c r="F107" i="4" s="1"/>
  <c r="I107" i="4" s="1"/>
  <c r="F106" i="4"/>
  <c r="I106" i="4" s="1"/>
  <c r="D106" i="4"/>
  <c r="D105" i="4"/>
  <c r="F105" i="4" s="1"/>
  <c r="I105" i="4" s="1"/>
  <c r="D104" i="4"/>
  <c r="F104" i="4" s="1"/>
  <c r="I104" i="4" s="1"/>
  <c r="D103" i="4"/>
  <c r="F103" i="4" s="1"/>
  <c r="I103" i="4" s="1"/>
  <c r="F102" i="4"/>
  <c r="I102" i="4" s="1"/>
  <c r="D102" i="4"/>
  <c r="D101" i="4"/>
  <c r="F101" i="4" s="1"/>
  <c r="I101" i="4" s="1"/>
  <c r="D100" i="4"/>
  <c r="F100" i="4" s="1"/>
  <c r="I100" i="4" s="1"/>
  <c r="D99" i="4"/>
  <c r="F99" i="4" s="1"/>
  <c r="I99" i="4" s="1"/>
  <c r="F98" i="4"/>
  <c r="I98" i="4" s="1"/>
  <c r="D98" i="4"/>
  <c r="D97" i="4"/>
  <c r="F97" i="4" s="1"/>
  <c r="I97" i="4" s="1"/>
  <c r="D96" i="4"/>
  <c r="F96" i="4" s="1"/>
  <c r="I96" i="4" s="1"/>
  <c r="D95" i="4"/>
  <c r="F95" i="4" s="1"/>
  <c r="I95" i="4" s="1"/>
  <c r="F94" i="4"/>
  <c r="I94" i="4" s="1"/>
  <c r="D94" i="4"/>
  <c r="D93" i="4"/>
  <c r="F93" i="4" s="1"/>
  <c r="I93" i="4" s="1"/>
  <c r="D92" i="4"/>
  <c r="F92" i="4" s="1"/>
  <c r="I92" i="4" s="1"/>
  <c r="D91" i="4"/>
  <c r="F91" i="4" s="1"/>
  <c r="I91" i="4" s="1"/>
  <c r="F90" i="4"/>
  <c r="I90" i="4" s="1"/>
  <c r="D90" i="4"/>
  <c r="I89" i="4"/>
  <c r="F89" i="4"/>
  <c r="I88" i="4"/>
  <c r="F88" i="4"/>
  <c r="F87" i="4"/>
  <c r="I87" i="4" s="1"/>
  <c r="F86" i="4"/>
  <c r="I86" i="4" s="1"/>
  <c r="D85" i="4"/>
  <c r="F85" i="4" s="1"/>
  <c r="I85" i="4" s="1"/>
  <c r="F84" i="4"/>
  <c r="I84" i="4" s="1"/>
  <c r="D84" i="4"/>
  <c r="I83" i="4"/>
  <c r="F83" i="4"/>
  <c r="D83" i="4"/>
  <c r="D82" i="4"/>
  <c r="F82" i="4" s="1"/>
  <c r="I82" i="4" s="1"/>
  <c r="D79" i="4"/>
  <c r="F79" i="4" s="1"/>
  <c r="I79" i="4" s="1"/>
  <c r="F78" i="4"/>
  <c r="I78" i="4" s="1"/>
  <c r="D78" i="4"/>
  <c r="I77" i="4"/>
  <c r="F77" i="4"/>
  <c r="D77" i="4"/>
  <c r="D76" i="4"/>
  <c r="F76" i="4" s="1"/>
  <c r="I76" i="4" s="1"/>
  <c r="D75" i="4"/>
  <c r="F75" i="4" s="1"/>
  <c r="I75" i="4" s="1"/>
  <c r="F74" i="4"/>
  <c r="I74" i="4" s="1"/>
  <c r="D74" i="4"/>
  <c r="I73" i="4"/>
  <c r="F73" i="4"/>
  <c r="D73" i="4"/>
  <c r="D72" i="4"/>
  <c r="F72" i="4" s="1"/>
  <c r="I72" i="4" s="1"/>
  <c r="D71" i="4"/>
  <c r="F71" i="4" s="1"/>
  <c r="I71" i="4" s="1"/>
  <c r="F70" i="4"/>
  <c r="I70" i="4" s="1"/>
  <c r="D70" i="4"/>
  <c r="I69" i="4"/>
  <c r="F69" i="4"/>
  <c r="D69" i="4"/>
  <c r="D68" i="4"/>
  <c r="F68" i="4" s="1"/>
  <c r="I68" i="4" s="1"/>
  <c r="D67" i="4"/>
  <c r="F67" i="4" s="1"/>
  <c r="I67" i="4" s="1"/>
  <c r="F66" i="4"/>
  <c r="I66" i="4" s="1"/>
  <c r="D66" i="4"/>
  <c r="I65" i="4"/>
  <c r="F65" i="4"/>
  <c r="D65" i="4"/>
  <c r="D64" i="4"/>
  <c r="F64" i="4" s="1"/>
  <c r="I64" i="4" s="1"/>
  <c r="D63" i="4"/>
  <c r="F63" i="4" s="1"/>
  <c r="I63" i="4" s="1"/>
  <c r="F62" i="4"/>
  <c r="I62" i="4" s="1"/>
  <c r="D62" i="4"/>
  <c r="I61" i="4"/>
  <c r="F61" i="4"/>
  <c r="D61" i="4"/>
  <c r="D60" i="4"/>
  <c r="F60" i="4" s="1"/>
  <c r="I60" i="4" s="1"/>
  <c r="D59" i="4"/>
  <c r="F59" i="4" s="1"/>
  <c r="I59" i="4" s="1"/>
  <c r="F58" i="4"/>
  <c r="I58" i="4" s="1"/>
  <c r="D58" i="4"/>
  <c r="I57" i="4"/>
  <c r="F57" i="4"/>
  <c r="D57" i="4"/>
  <c r="D56" i="4"/>
  <c r="F56" i="4" s="1"/>
  <c r="I56" i="4" s="1"/>
  <c r="D55" i="4"/>
  <c r="F55" i="4" s="1"/>
  <c r="I55" i="4" s="1"/>
  <c r="F54" i="4"/>
  <c r="I54" i="4" s="1"/>
  <c r="D54" i="4"/>
  <c r="I53" i="4"/>
  <c r="F53" i="4"/>
  <c r="D53" i="4"/>
  <c r="D52" i="4"/>
  <c r="F52" i="4" s="1"/>
  <c r="I52" i="4" s="1"/>
  <c r="D51" i="4"/>
  <c r="F51" i="4" s="1"/>
  <c r="I51" i="4" s="1"/>
  <c r="F50" i="4"/>
  <c r="I50" i="4" s="1"/>
  <c r="F49" i="4"/>
  <c r="I49" i="4" s="1"/>
  <c r="D49" i="4"/>
  <c r="D48" i="4"/>
  <c r="F48" i="4" s="1"/>
  <c r="I48" i="4" s="1"/>
  <c r="F47" i="4"/>
  <c r="I47" i="4" s="1"/>
  <c r="D47" i="4"/>
  <c r="D46" i="4"/>
  <c r="F46" i="4" s="1"/>
  <c r="I46" i="4" s="1"/>
  <c r="F45" i="4"/>
  <c r="I45" i="4" s="1"/>
  <c r="D42" i="4"/>
  <c r="F42" i="4" s="1"/>
  <c r="I42" i="4" s="1"/>
  <c r="D41" i="4"/>
  <c r="F41" i="4" s="1"/>
  <c r="I41" i="4" s="1"/>
  <c r="F40" i="4"/>
  <c r="I40" i="4" s="1"/>
  <c r="D40" i="4"/>
  <c r="D39" i="4"/>
  <c r="F39" i="4" s="1"/>
  <c r="I39" i="4" s="1"/>
  <c r="D38" i="4"/>
  <c r="F38" i="4" s="1"/>
  <c r="I38" i="4" s="1"/>
  <c r="D37" i="4"/>
  <c r="F37" i="4" s="1"/>
  <c r="I37" i="4" s="1"/>
  <c r="F36" i="4"/>
  <c r="I36" i="4" s="1"/>
  <c r="D36" i="4"/>
  <c r="D35" i="4"/>
  <c r="F35" i="4" s="1"/>
  <c r="I35" i="4" s="1"/>
  <c r="D34" i="4"/>
  <c r="F34" i="4" s="1"/>
  <c r="I34" i="4" s="1"/>
  <c r="D33" i="4"/>
  <c r="F33" i="4" s="1"/>
  <c r="I33" i="4" s="1"/>
  <c r="F32" i="4"/>
  <c r="I32" i="4" s="1"/>
  <c r="D32" i="4"/>
  <c r="D31" i="4"/>
  <c r="F31" i="4" s="1"/>
  <c r="I31" i="4" s="1"/>
  <c r="D30" i="4"/>
  <c r="F30" i="4" s="1"/>
  <c r="I30" i="4" s="1"/>
  <c r="D29" i="4"/>
  <c r="F29" i="4" s="1"/>
  <c r="I29" i="4" s="1"/>
  <c r="F28" i="4"/>
  <c r="I28" i="4" s="1"/>
  <c r="D28" i="4"/>
  <c r="D27" i="4"/>
  <c r="F27" i="4" s="1"/>
  <c r="I27" i="4" s="1"/>
  <c r="D26" i="4"/>
  <c r="F26" i="4" s="1"/>
  <c r="I26" i="4" s="1"/>
  <c r="D25" i="4"/>
  <c r="F25" i="4" s="1"/>
  <c r="I25" i="4" s="1"/>
  <c r="F24" i="4"/>
  <c r="I24" i="4" s="1"/>
  <c r="D24" i="4"/>
  <c r="D23" i="4"/>
  <c r="F23" i="4" s="1"/>
  <c r="I23" i="4" s="1"/>
  <c r="D22" i="4"/>
  <c r="F22" i="4" s="1"/>
  <c r="I22" i="4" s="1"/>
  <c r="D21" i="4"/>
  <c r="F21" i="4" s="1"/>
  <c r="I21" i="4" s="1"/>
  <c r="F20" i="4"/>
  <c r="I20" i="4" s="1"/>
  <c r="D20" i="4"/>
  <c r="D19" i="4"/>
  <c r="F19" i="4" s="1"/>
  <c r="I19" i="4" s="1"/>
  <c r="D18" i="4"/>
  <c r="F18" i="4" s="1"/>
  <c r="I18" i="4" s="1"/>
  <c r="D17" i="4"/>
  <c r="F17" i="4" s="1"/>
  <c r="I17" i="4" s="1"/>
  <c r="F16" i="4"/>
  <c r="I16" i="4" s="1"/>
  <c r="D16" i="4"/>
  <c r="D15" i="4"/>
  <c r="F15" i="4" s="1"/>
  <c r="I15" i="4" s="1"/>
  <c r="I14" i="4"/>
  <c r="F14" i="4"/>
  <c r="D13" i="4"/>
  <c r="F13" i="4" s="1"/>
  <c r="I13" i="4" s="1"/>
  <c r="D12" i="4"/>
  <c r="F12" i="4" s="1"/>
  <c r="I12" i="4" s="1"/>
  <c r="F11" i="4"/>
  <c r="I11" i="4" s="1"/>
  <c r="D11" i="4"/>
  <c r="I10" i="4"/>
  <c r="F10" i="4"/>
  <c r="D10" i="4"/>
  <c r="I9" i="4"/>
  <c r="D9" i="4"/>
  <c r="I8" i="4"/>
  <c r="Q72" i="8"/>
  <c r="Q38" i="8"/>
  <c r="Q217" i="9"/>
  <c r="J251" i="9"/>
  <c r="Q72" i="9"/>
  <c r="Q38" i="9"/>
  <c r="N432" i="6" l="1"/>
  <c r="O431" i="6"/>
  <c r="I432" i="6"/>
  <c r="O432" i="6" s="1"/>
  <c r="U488" i="5" l="1"/>
  <c r="T488" i="5"/>
  <c r="S488" i="5"/>
  <c r="R488" i="5"/>
  <c r="Q488" i="5"/>
  <c r="P488" i="5"/>
  <c r="V488" i="5" s="1"/>
  <c r="O488" i="5"/>
  <c r="H488" i="5"/>
  <c r="N430" i="6" l="1"/>
  <c r="I430" i="6"/>
  <c r="O430" i="6" l="1"/>
  <c r="I251" i="9"/>
  <c r="I140" i="8"/>
  <c r="I242" i="8" s="1"/>
  <c r="F52" i="12" l="1"/>
  <c r="AT83" i="13" l="1"/>
  <c r="AT93" i="13"/>
  <c r="AT78" i="13"/>
  <c r="U487" i="5"/>
  <c r="T487" i="5"/>
  <c r="S487" i="5"/>
  <c r="R487" i="5"/>
  <c r="Q487" i="5"/>
  <c r="P487" i="5"/>
  <c r="O487" i="5"/>
  <c r="H487" i="5"/>
  <c r="V487" i="5" l="1"/>
  <c r="N429" i="6"/>
  <c r="I429" i="6"/>
  <c r="H140" i="8"/>
  <c r="Q183" i="9"/>
  <c r="B428" i="6"/>
  <c r="N486" i="5"/>
  <c r="U486" i="5" s="1"/>
  <c r="M486" i="5"/>
  <c r="T486" i="5" s="1"/>
  <c r="L486" i="5"/>
  <c r="K486" i="5"/>
  <c r="J486" i="5"/>
  <c r="I486" i="5"/>
  <c r="G486" i="5"/>
  <c r="F486" i="5"/>
  <c r="E486" i="5"/>
  <c r="D486" i="5"/>
  <c r="C486" i="5"/>
  <c r="B486" i="5"/>
  <c r="U485" i="5"/>
  <c r="T485" i="5"/>
  <c r="S485" i="5"/>
  <c r="R485" i="5"/>
  <c r="Q485" i="5"/>
  <c r="P485" i="5"/>
  <c r="O485" i="5"/>
  <c r="H485" i="5"/>
  <c r="H242" i="8" l="1"/>
  <c r="Q242" i="8" s="1"/>
  <c r="Q140" i="8"/>
  <c r="O429" i="6"/>
  <c r="H251" i="9"/>
  <c r="Q251" i="9" s="1"/>
  <c r="V485" i="5"/>
  <c r="H486" i="5"/>
  <c r="Q486" i="5"/>
  <c r="R486" i="5"/>
  <c r="S486" i="5"/>
  <c r="O486" i="5"/>
  <c r="P486" i="5"/>
  <c r="V486" i="5" s="1"/>
  <c r="M428" i="6" l="1"/>
  <c r="L428" i="6"/>
  <c r="K428" i="6"/>
  <c r="J428" i="6"/>
  <c r="H428" i="6"/>
  <c r="G428" i="6"/>
  <c r="F428" i="6"/>
  <c r="E428" i="6"/>
  <c r="D428" i="6"/>
  <c r="C428" i="6"/>
  <c r="N427" i="6"/>
  <c r="O427" i="6" s="1"/>
  <c r="I427" i="6"/>
  <c r="I428" i="6" l="1"/>
  <c r="N428" i="6"/>
  <c r="AT73" i="13"/>
  <c r="AT79" i="13"/>
  <c r="AT84" i="13"/>
  <c r="AT85" i="13"/>
  <c r="AT88" i="13"/>
  <c r="AT92" i="13"/>
  <c r="AT94" i="13"/>
  <c r="AT123" i="13"/>
  <c r="AT130" i="13"/>
  <c r="AT109" i="13"/>
  <c r="AT114" i="13"/>
  <c r="AT134" i="13" l="1"/>
  <c r="O428" i="6"/>
  <c r="P276" i="8"/>
  <c r="P208" i="8"/>
  <c r="P174" i="8"/>
  <c r="G140" i="8"/>
  <c r="G242" i="8" s="1"/>
  <c r="P106" i="8"/>
  <c r="P72" i="8"/>
  <c r="P38" i="8"/>
  <c r="D51" i="10" l="1"/>
  <c r="P217" i="9"/>
  <c r="P106" i="9"/>
  <c r="P72" i="9"/>
  <c r="P38" i="9"/>
  <c r="U484" i="5"/>
  <c r="T484" i="5"/>
  <c r="S484" i="5"/>
  <c r="R484" i="5"/>
  <c r="Q484" i="5"/>
  <c r="P484" i="5"/>
  <c r="O484" i="5"/>
  <c r="H484" i="5"/>
  <c r="G251" i="9" l="1"/>
  <c r="V484" i="5"/>
  <c r="N426" i="6"/>
  <c r="I426" i="6"/>
  <c r="O426" i="6" l="1"/>
  <c r="F140" i="8"/>
  <c r="AT62" i="13"/>
  <c r="AT41" i="13"/>
  <c r="AT46" i="13"/>
  <c r="AT55" i="13"/>
  <c r="O483" i="5"/>
  <c r="H483" i="5"/>
  <c r="U483" i="5"/>
  <c r="T483" i="5"/>
  <c r="S483" i="5"/>
  <c r="R483" i="5"/>
  <c r="Q483" i="5"/>
  <c r="P483" i="5"/>
  <c r="B482" i="5"/>
  <c r="C482" i="5"/>
  <c r="D482" i="5"/>
  <c r="E482" i="5"/>
  <c r="F482" i="5"/>
  <c r="G482" i="5"/>
  <c r="AT75" i="13" l="1"/>
  <c r="AT89" i="13"/>
  <c r="AT80" i="13"/>
  <c r="AT96" i="13"/>
  <c r="F251" i="9"/>
  <c r="V483" i="5"/>
  <c r="F242" i="8"/>
  <c r="AT66" i="13"/>
  <c r="N425" i="6"/>
  <c r="I425" i="6"/>
  <c r="AT100" i="13" l="1"/>
  <c r="C51" i="10"/>
  <c r="O425" i="6"/>
  <c r="E251" i="9" l="1"/>
  <c r="P183" i="9"/>
  <c r="N58" i="5"/>
  <c r="M58" i="5"/>
  <c r="L58" i="5"/>
  <c r="K58" i="5"/>
  <c r="J58" i="5"/>
  <c r="I58" i="5"/>
  <c r="N57" i="5"/>
  <c r="M57" i="5"/>
  <c r="L57" i="5"/>
  <c r="K57" i="5"/>
  <c r="J57" i="5"/>
  <c r="I57" i="5"/>
  <c r="N56" i="5"/>
  <c r="M56" i="5"/>
  <c r="L56" i="5"/>
  <c r="K56" i="5"/>
  <c r="J56" i="5"/>
  <c r="I56" i="5"/>
  <c r="N55" i="5"/>
  <c r="M55" i="5"/>
  <c r="L55" i="5"/>
  <c r="K55" i="5"/>
  <c r="J55" i="5"/>
  <c r="I55" i="5"/>
  <c r="N54" i="5"/>
  <c r="M54" i="5"/>
  <c r="L54" i="5"/>
  <c r="K54" i="5"/>
  <c r="J54" i="5"/>
  <c r="I54" i="5"/>
  <c r="N53" i="5"/>
  <c r="M53" i="5"/>
  <c r="L53" i="5"/>
  <c r="K53" i="5"/>
  <c r="J53" i="5"/>
  <c r="I53" i="5"/>
  <c r="N52" i="5"/>
  <c r="M52" i="5"/>
  <c r="L52" i="5"/>
  <c r="K52" i="5"/>
  <c r="J52" i="5"/>
  <c r="I52" i="5"/>
  <c r="C52" i="5"/>
  <c r="Q52" i="5" s="1"/>
  <c r="D52" i="5"/>
  <c r="R52" i="5" s="1"/>
  <c r="E52" i="5"/>
  <c r="F52" i="5"/>
  <c r="G52" i="5"/>
  <c r="C53" i="5"/>
  <c r="Q53" i="5" s="1"/>
  <c r="D53" i="5"/>
  <c r="E53" i="5"/>
  <c r="F53" i="5"/>
  <c r="G53" i="5"/>
  <c r="C54" i="5"/>
  <c r="Q54" i="5" s="1"/>
  <c r="D54" i="5"/>
  <c r="R54" i="5" s="1"/>
  <c r="E54" i="5"/>
  <c r="F54" i="5"/>
  <c r="T54" i="5" s="1"/>
  <c r="G54" i="5"/>
  <c r="C55" i="5"/>
  <c r="D55" i="5"/>
  <c r="E55" i="5"/>
  <c r="F55" i="5"/>
  <c r="G55" i="5"/>
  <c r="C56" i="5"/>
  <c r="D56" i="5"/>
  <c r="R56" i="5" s="1"/>
  <c r="E56" i="5"/>
  <c r="F56" i="5"/>
  <c r="T56" i="5" s="1"/>
  <c r="G56" i="5"/>
  <c r="C57" i="5"/>
  <c r="D57" i="5"/>
  <c r="E57" i="5"/>
  <c r="F57" i="5"/>
  <c r="G57" i="5"/>
  <c r="C58" i="5"/>
  <c r="D58" i="5"/>
  <c r="E58" i="5"/>
  <c r="S58" i="5" s="1"/>
  <c r="F58" i="5"/>
  <c r="G58" i="5"/>
  <c r="B58" i="5"/>
  <c r="B57" i="5"/>
  <c r="B56" i="5"/>
  <c r="P56" i="5" s="1"/>
  <c r="B55" i="5"/>
  <c r="B54" i="5"/>
  <c r="B53" i="5"/>
  <c r="B52" i="5"/>
  <c r="E140" i="8"/>
  <c r="P140" i="8" s="1"/>
  <c r="N423" i="6"/>
  <c r="I423" i="6"/>
  <c r="M424" i="6"/>
  <c r="L424" i="6"/>
  <c r="K424" i="6"/>
  <c r="J424" i="6"/>
  <c r="H424" i="6"/>
  <c r="G424" i="6"/>
  <c r="F424" i="6"/>
  <c r="E424" i="6"/>
  <c r="D424" i="6"/>
  <c r="C424" i="6"/>
  <c r="B424" i="6"/>
  <c r="AT28" i="13"/>
  <c r="AT21" i="13"/>
  <c r="AT12" i="13"/>
  <c r="AT7" i="13"/>
  <c r="P251" i="9" l="1"/>
  <c r="S57" i="5"/>
  <c r="U57" i="5"/>
  <c r="S55" i="5"/>
  <c r="O57" i="5"/>
  <c r="T57" i="5"/>
  <c r="R55" i="5"/>
  <c r="R58" i="5"/>
  <c r="H54" i="5"/>
  <c r="P58" i="5"/>
  <c r="E242" i="8"/>
  <c r="P242" i="8" s="1"/>
  <c r="U53" i="5"/>
  <c r="Q56" i="5"/>
  <c r="T53" i="5"/>
  <c r="H52" i="5"/>
  <c r="Q55" i="5"/>
  <c r="U55" i="5"/>
  <c r="S53" i="5"/>
  <c r="T52" i="5"/>
  <c r="R57" i="5"/>
  <c r="Q58" i="5"/>
  <c r="T55" i="5"/>
  <c r="R53" i="5"/>
  <c r="U52" i="5"/>
  <c r="U54" i="5"/>
  <c r="U56" i="5"/>
  <c r="O58" i="5"/>
  <c r="Q57" i="5"/>
  <c r="H57" i="5"/>
  <c r="S54" i="5"/>
  <c r="H55" i="5"/>
  <c r="U58" i="5"/>
  <c r="S56" i="5"/>
  <c r="H53" i="5"/>
  <c r="S52" i="5"/>
  <c r="O56" i="5"/>
  <c r="P53" i="5"/>
  <c r="P55" i="5"/>
  <c r="P57" i="5"/>
  <c r="H58" i="5"/>
  <c r="O53" i="5"/>
  <c r="H56" i="5"/>
  <c r="T58" i="5"/>
  <c r="O52" i="5"/>
  <c r="O54" i="5"/>
  <c r="P52" i="5"/>
  <c r="P54" i="5"/>
  <c r="O55" i="5"/>
  <c r="O423" i="6"/>
  <c r="N424" i="6"/>
  <c r="I424" i="6"/>
  <c r="AT32" i="13"/>
  <c r="V56" i="5" l="1"/>
  <c r="V58" i="5"/>
  <c r="V53" i="5"/>
  <c r="V55" i="5"/>
  <c r="V54" i="5"/>
  <c r="V52" i="5"/>
  <c r="V57" i="5"/>
  <c r="O424" i="6"/>
  <c r="E51" i="10" l="1"/>
  <c r="B51" i="10"/>
  <c r="G51" i="10"/>
  <c r="I51" i="10"/>
  <c r="K51" i="10"/>
  <c r="D62" i="11"/>
  <c r="H62" i="11" s="1"/>
  <c r="B233" i="12"/>
  <c r="F62" i="11" l="1"/>
  <c r="G62" i="11"/>
  <c r="H51" i="10"/>
  <c r="U481" i="5" l="1"/>
  <c r="T481" i="5"/>
  <c r="S481" i="5"/>
  <c r="R481" i="5"/>
  <c r="Q481" i="5"/>
  <c r="P481" i="5"/>
  <c r="O481" i="5"/>
  <c r="N482" i="5"/>
  <c r="M482" i="5"/>
  <c r="L482" i="5"/>
  <c r="K482" i="5"/>
  <c r="J482" i="5"/>
  <c r="Q482" i="5" s="1"/>
  <c r="I482" i="5"/>
  <c r="H481" i="5"/>
  <c r="S482" i="5" l="1"/>
  <c r="R482" i="5"/>
  <c r="O482" i="5"/>
  <c r="U482" i="5"/>
  <c r="T482" i="5"/>
  <c r="H482" i="5"/>
  <c r="V481" i="5"/>
  <c r="P482" i="5"/>
  <c r="V482" i="5" s="1"/>
  <c r="O276" i="8"/>
  <c r="O208" i="8"/>
  <c r="O174" i="8"/>
  <c r="D140" i="8"/>
  <c r="O106" i="8"/>
  <c r="O72" i="8"/>
  <c r="O38" i="8"/>
  <c r="D242" i="8" l="1"/>
  <c r="O106" i="9"/>
  <c r="O72" i="9"/>
  <c r="O38" i="9"/>
  <c r="O217" i="9"/>
  <c r="N422" i="6"/>
  <c r="U480" i="5"/>
  <c r="T480" i="5"/>
  <c r="S480" i="5"/>
  <c r="R480" i="5"/>
  <c r="Q480" i="5"/>
  <c r="P480" i="5"/>
  <c r="O480" i="5"/>
  <c r="H480" i="5"/>
  <c r="D251" i="9" l="1"/>
  <c r="V480" i="5"/>
  <c r="I422" i="6"/>
  <c r="O422" i="6" s="1"/>
  <c r="C140" i="8" l="1"/>
  <c r="C242" i="8" l="1"/>
  <c r="U479" i="5"/>
  <c r="T479" i="5"/>
  <c r="S479" i="5"/>
  <c r="R479" i="5"/>
  <c r="Q479" i="5"/>
  <c r="P479" i="5"/>
  <c r="O479" i="5"/>
  <c r="H479" i="5"/>
  <c r="I421" i="6"/>
  <c r="N421" i="6"/>
  <c r="O421" i="6" s="1"/>
  <c r="F139" i="12"/>
  <c r="C251" i="9" l="1"/>
  <c r="B251" i="9"/>
  <c r="O183" i="9"/>
  <c r="V479" i="5"/>
  <c r="B140" i="8"/>
  <c r="I22" i="10"/>
  <c r="I23" i="10"/>
  <c r="I24" i="10"/>
  <c r="I25" i="10"/>
  <c r="I26" i="10"/>
  <c r="I27" i="10"/>
  <c r="I28" i="10"/>
  <c r="I29" i="10"/>
  <c r="I30" i="10"/>
  <c r="I31" i="10"/>
  <c r="I32" i="10"/>
  <c r="I33" i="10"/>
  <c r="I34" i="10"/>
  <c r="I35" i="10"/>
  <c r="I36" i="10"/>
  <c r="I37" i="10"/>
  <c r="I38" i="10"/>
  <c r="I39" i="10"/>
  <c r="I40" i="10"/>
  <c r="I41" i="10"/>
  <c r="I42" i="10"/>
  <c r="I43" i="10"/>
  <c r="I44" i="10"/>
  <c r="I45" i="10"/>
  <c r="I46" i="10"/>
  <c r="I47" i="10"/>
  <c r="I21" i="10"/>
  <c r="F8" i="10"/>
  <c r="F9" i="10"/>
  <c r="F10" i="10"/>
  <c r="F11" i="10"/>
  <c r="F12" i="10"/>
  <c r="F13" i="10"/>
  <c r="F14" i="10"/>
  <c r="F7" i="10"/>
  <c r="F18" i="10"/>
  <c r="F17" i="10"/>
  <c r="F16" i="10"/>
  <c r="F15" i="10"/>
  <c r="O251" i="9" l="1"/>
  <c r="O140" i="8"/>
  <c r="B242" i="8"/>
  <c r="O242" i="8" s="1"/>
  <c r="F186" i="12"/>
  <c r="F136" i="12"/>
  <c r="F137" i="12"/>
  <c r="F138" i="12"/>
  <c r="F49" i="12"/>
  <c r="F50" i="12"/>
  <c r="F51" i="12"/>
  <c r="P475" i="5"/>
  <c r="Q475" i="5"/>
  <c r="R475" i="5"/>
  <c r="S475" i="5"/>
  <c r="T475" i="5"/>
  <c r="U475" i="5"/>
  <c r="O475" i="5"/>
  <c r="H475" i="5"/>
  <c r="V475" i="5" l="1"/>
  <c r="B476" i="5"/>
  <c r="N476" i="5"/>
  <c r="M476" i="5"/>
  <c r="L476" i="5"/>
  <c r="K476" i="5"/>
  <c r="J476" i="5"/>
  <c r="I476" i="5"/>
  <c r="G476" i="5"/>
  <c r="F476" i="5"/>
  <c r="E476" i="5"/>
  <c r="D476" i="5"/>
  <c r="C476" i="5"/>
  <c r="M418" i="6"/>
  <c r="L418" i="6"/>
  <c r="K418" i="6"/>
  <c r="J418" i="6"/>
  <c r="H418" i="6"/>
  <c r="G418" i="6"/>
  <c r="F418" i="6"/>
  <c r="E418" i="6"/>
  <c r="D418" i="6"/>
  <c r="C418" i="6"/>
  <c r="B418" i="6"/>
  <c r="N417" i="6"/>
  <c r="I417" i="6"/>
  <c r="N418" i="6" l="1"/>
  <c r="O476" i="5"/>
  <c r="H476" i="5"/>
  <c r="I418" i="6"/>
  <c r="O418" i="6" s="1"/>
  <c r="O417" i="6"/>
  <c r="I28" i="7"/>
  <c r="I29" i="7"/>
  <c r="I30" i="7"/>
  <c r="I31" i="7"/>
  <c r="R275" i="8"/>
  <c r="T276" i="8" s="1"/>
  <c r="R207" i="8"/>
  <c r="T208" i="8" s="1"/>
  <c r="R173" i="8"/>
  <c r="T174" i="8" s="1"/>
  <c r="R105" i="8"/>
  <c r="T106" i="8" s="1"/>
  <c r="R71" i="8"/>
  <c r="T72" i="8" s="1"/>
  <c r="R37" i="8"/>
  <c r="T38" i="8" s="1"/>
  <c r="M139" i="8"/>
  <c r="O216" i="9"/>
  <c r="P216" i="9"/>
  <c r="Q216" i="9"/>
  <c r="R216" i="9"/>
  <c r="U217" i="9" s="1"/>
  <c r="B61" i="11" s="1"/>
  <c r="O105" i="9"/>
  <c r="P105" i="9"/>
  <c r="Q105" i="9"/>
  <c r="R105" i="9"/>
  <c r="U106" i="9" s="1"/>
  <c r="S105" i="9"/>
  <c r="O71" i="9"/>
  <c r="P71" i="9"/>
  <c r="Q71" i="9"/>
  <c r="R71" i="9"/>
  <c r="U72" i="9" s="1"/>
  <c r="S71" i="9"/>
  <c r="R37" i="9"/>
  <c r="U38" i="9" s="1"/>
  <c r="O37" i="9"/>
  <c r="P37" i="9"/>
  <c r="Q37" i="9"/>
  <c r="C137" i="12"/>
  <c r="C138" i="12"/>
  <c r="C139" i="12"/>
  <c r="C51" i="12"/>
  <c r="C52" i="12"/>
  <c r="P50" i="10" l="1"/>
  <c r="M250" i="9"/>
  <c r="M241" i="8"/>
  <c r="S216" i="9"/>
  <c r="S37" i="9"/>
  <c r="AR95" i="13"/>
  <c r="U474" i="5"/>
  <c r="T474" i="5"/>
  <c r="S474" i="5"/>
  <c r="R474" i="5"/>
  <c r="Q474" i="5"/>
  <c r="P474" i="5"/>
  <c r="O474" i="5"/>
  <c r="H474" i="5"/>
  <c r="V474" i="5" l="1"/>
  <c r="N416" i="6"/>
  <c r="I416" i="6"/>
  <c r="L139" i="8"/>
  <c r="L250" i="9" l="1"/>
  <c r="L241" i="8"/>
  <c r="O416" i="6"/>
  <c r="K139" i="8"/>
  <c r="I415" i="6"/>
  <c r="N415" i="6"/>
  <c r="K250" i="9" l="1"/>
  <c r="R182" i="9"/>
  <c r="U183" i="9" s="1"/>
  <c r="C61" i="11" s="1"/>
  <c r="K241" i="8"/>
  <c r="R241" i="8" s="1"/>
  <c r="T242" i="8" s="1"/>
  <c r="R139" i="8"/>
  <c r="T140" i="8" s="1"/>
  <c r="O415" i="6"/>
  <c r="U473" i="5"/>
  <c r="U476" i="5" s="1"/>
  <c r="T473" i="5"/>
  <c r="T476" i="5" s="1"/>
  <c r="S473" i="5"/>
  <c r="S476" i="5" s="1"/>
  <c r="R473" i="5"/>
  <c r="R476" i="5" s="1"/>
  <c r="Q473" i="5"/>
  <c r="Q476" i="5" s="1"/>
  <c r="P473" i="5"/>
  <c r="P476" i="5" s="1"/>
  <c r="O473" i="5"/>
  <c r="H473" i="5"/>
  <c r="R250" i="9" l="1"/>
  <c r="U251" i="9" s="1"/>
  <c r="V476" i="5"/>
  <c r="V473" i="5"/>
  <c r="H231" i="12"/>
  <c r="C170" i="12"/>
  <c r="C171" i="12"/>
  <c r="C172" i="12"/>
  <c r="C173" i="12"/>
  <c r="C174" i="12"/>
  <c r="C176" i="12"/>
  <c r="C177" i="12"/>
  <c r="C178" i="12"/>
  <c r="C179" i="12"/>
  <c r="C181" i="12"/>
  <c r="C184" i="12"/>
  <c r="C185" i="12"/>
  <c r="J250" i="9"/>
  <c r="Q275" i="8"/>
  <c r="Q207" i="8"/>
  <c r="Q173" i="8"/>
  <c r="Q105" i="8"/>
  <c r="Q71" i="8"/>
  <c r="Q37" i="8"/>
  <c r="J139" i="8"/>
  <c r="J241" i="8" s="1"/>
  <c r="U471" i="5"/>
  <c r="T471" i="5"/>
  <c r="S471" i="5"/>
  <c r="R471" i="5"/>
  <c r="Q471" i="5"/>
  <c r="P471" i="5"/>
  <c r="O471" i="5"/>
  <c r="H471" i="5"/>
  <c r="N472" i="5"/>
  <c r="M472" i="5"/>
  <c r="L472" i="5"/>
  <c r="K472" i="5"/>
  <c r="J472" i="5"/>
  <c r="I472" i="5"/>
  <c r="G472" i="5"/>
  <c r="F472" i="5"/>
  <c r="E472" i="5"/>
  <c r="D472" i="5"/>
  <c r="C472" i="5"/>
  <c r="B472" i="5"/>
  <c r="P472" i="5" l="1"/>
  <c r="U472" i="5"/>
  <c r="R472" i="5"/>
  <c r="V471" i="5"/>
  <c r="Q472" i="5"/>
  <c r="S472" i="5"/>
  <c r="T472" i="5"/>
  <c r="O472" i="5"/>
  <c r="H472" i="5"/>
  <c r="V472" i="5" l="1"/>
  <c r="M414" i="6"/>
  <c r="L414" i="6"/>
  <c r="K414" i="6"/>
  <c r="J414" i="6"/>
  <c r="H414" i="6"/>
  <c r="G414" i="6"/>
  <c r="F414" i="6"/>
  <c r="E414" i="6"/>
  <c r="D414" i="6"/>
  <c r="C414" i="6"/>
  <c r="B414" i="6"/>
  <c r="N413" i="6"/>
  <c r="I413" i="6"/>
  <c r="G7" i="10"/>
  <c r="G8" i="10"/>
  <c r="G9" i="10"/>
  <c r="G10" i="10"/>
  <c r="G11" i="10"/>
  <c r="G12" i="10"/>
  <c r="G13" i="10"/>
  <c r="G14" i="10"/>
  <c r="G15" i="10"/>
  <c r="G16" i="10"/>
  <c r="G17" i="10"/>
  <c r="G18" i="10"/>
  <c r="G19" i="10"/>
  <c r="G20" i="10"/>
  <c r="G21" i="10"/>
  <c r="G22" i="10"/>
  <c r="G23" i="10"/>
  <c r="G24" i="10"/>
  <c r="G25" i="10"/>
  <c r="G26" i="10"/>
  <c r="G27" i="10"/>
  <c r="G28" i="10"/>
  <c r="G29" i="10"/>
  <c r="G30" i="10"/>
  <c r="G31" i="10"/>
  <c r="G32" i="10"/>
  <c r="G33" i="10"/>
  <c r="G34" i="10"/>
  <c r="G35" i="10"/>
  <c r="G36" i="10"/>
  <c r="G37" i="10"/>
  <c r="G38" i="10"/>
  <c r="G39" i="10"/>
  <c r="G40" i="10"/>
  <c r="G41" i="10"/>
  <c r="G42" i="10"/>
  <c r="G43" i="10"/>
  <c r="G44" i="10"/>
  <c r="G45" i="10"/>
  <c r="G46" i="10"/>
  <c r="G47" i="10"/>
  <c r="N414" i="6" l="1"/>
  <c r="O413" i="6"/>
  <c r="I414" i="6"/>
  <c r="O414" i="6" s="1"/>
  <c r="U470" i="5"/>
  <c r="T470" i="5"/>
  <c r="S470" i="5"/>
  <c r="R470" i="5"/>
  <c r="Q470" i="5"/>
  <c r="P470" i="5"/>
  <c r="H470" i="5"/>
  <c r="V470" i="5" l="1"/>
  <c r="O470" i="5"/>
  <c r="N412" i="6"/>
  <c r="I412" i="6"/>
  <c r="I139" i="8"/>
  <c r="I241" i="8" s="1"/>
  <c r="I250" i="9"/>
  <c r="O412" i="6" l="1"/>
  <c r="F173" i="12" l="1"/>
  <c r="F174" i="12"/>
  <c r="F176" i="12"/>
  <c r="F177" i="12"/>
  <c r="F178" i="12"/>
  <c r="F179" i="12"/>
  <c r="F181" i="12"/>
  <c r="F184" i="12"/>
  <c r="F172" i="12"/>
  <c r="K22" i="10"/>
  <c r="K23" i="10"/>
  <c r="K24" i="10"/>
  <c r="K25" i="10"/>
  <c r="K26" i="10"/>
  <c r="K27" i="10"/>
  <c r="K28" i="10"/>
  <c r="K29" i="10"/>
  <c r="K30" i="10"/>
  <c r="K31" i="10"/>
  <c r="K32" i="10"/>
  <c r="K33" i="10"/>
  <c r="K34" i="10"/>
  <c r="K35" i="10"/>
  <c r="K36" i="10"/>
  <c r="K37" i="10"/>
  <c r="K38" i="10"/>
  <c r="K39" i="10"/>
  <c r="K40" i="10"/>
  <c r="K41" i="10"/>
  <c r="K42" i="10"/>
  <c r="K43" i="10"/>
  <c r="K44" i="10"/>
  <c r="K45" i="10"/>
  <c r="K46" i="10"/>
  <c r="K47" i="10"/>
  <c r="K48" i="10"/>
  <c r="K49" i="10"/>
  <c r="K50" i="10"/>
  <c r="K21" i="10"/>
  <c r="U469" i="5"/>
  <c r="T469" i="5"/>
  <c r="S469" i="5"/>
  <c r="R469" i="5"/>
  <c r="Q469" i="5"/>
  <c r="P469" i="5"/>
  <c r="O469" i="5"/>
  <c r="H469" i="5"/>
  <c r="V469" i="5" l="1"/>
  <c r="N411" i="6"/>
  <c r="I411" i="6"/>
  <c r="H139" i="8"/>
  <c r="Q182" i="9"/>
  <c r="H30" i="10"/>
  <c r="AS85" i="13"/>
  <c r="U467" i="5"/>
  <c r="T467" i="5"/>
  <c r="S467" i="5"/>
  <c r="R467" i="5"/>
  <c r="Q467" i="5"/>
  <c r="P467" i="5"/>
  <c r="O467" i="5"/>
  <c r="H467" i="5"/>
  <c r="B468" i="5"/>
  <c r="H241" i="8" l="1"/>
  <c r="Q241" i="8" s="1"/>
  <c r="Q139" i="8"/>
  <c r="H250" i="9"/>
  <c r="V467" i="5"/>
  <c r="O411" i="6"/>
  <c r="N468" i="5"/>
  <c r="M468" i="5"/>
  <c r="L468" i="5"/>
  <c r="K468" i="5"/>
  <c r="J468" i="5"/>
  <c r="I468" i="5"/>
  <c r="P468" i="5" s="1"/>
  <c r="G468" i="5"/>
  <c r="F468" i="5"/>
  <c r="E468" i="5"/>
  <c r="D468" i="5"/>
  <c r="C468" i="5"/>
  <c r="N409" i="6"/>
  <c r="J410" i="6"/>
  <c r="I409" i="6"/>
  <c r="M410" i="6"/>
  <c r="L410" i="6"/>
  <c r="K410" i="6"/>
  <c r="H410" i="6"/>
  <c r="G410" i="6"/>
  <c r="F410" i="6"/>
  <c r="E410" i="6"/>
  <c r="D410" i="6"/>
  <c r="C410" i="6"/>
  <c r="B410" i="6"/>
  <c r="G139" i="8"/>
  <c r="G241" i="8" s="1"/>
  <c r="P275" i="8"/>
  <c r="P207" i="8"/>
  <c r="P206" i="8"/>
  <c r="P173" i="8"/>
  <c r="P105" i="8"/>
  <c r="P71" i="8"/>
  <c r="P37" i="8"/>
  <c r="G250" i="9"/>
  <c r="Q250" i="9" l="1"/>
  <c r="O409" i="6"/>
  <c r="T468" i="5"/>
  <c r="O468" i="5"/>
  <c r="R468" i="5"/>
  <c r="S468" i="5"/>
  <c r="U468" i="5"/>
  <c r="H468" i="5"/>
  <c r="Q468" i="5"/>
  <c r="N410" i="6"/>
  <c r="I410" i="6"/>
  <c r="V468" i="5" l="1"/>
  <c r="O410" i="6"/>
  <c r="AS123" i="13"/>
  <c r="AS130" i="13"/>
  <c r="AS109" i="13"/>
  <c r="AS114" i="13"/>
  <c r="AS73" i="13"/>
  <c r="AS78" i="13"/>
  <c r="AS79" i="13"/>
  <c r="AS83" i="13"/>
  <c r="AS84" i="13"/>
  <c r="AS88" i="13"/>
  <c r="AS92" i="13"/>
  <c r="AS93" i="13"/>
  <c r="AS94" i="13"/>
  <c r="U466" i="5"/>
  <c r="T466" i="5"/>
  <c r="S466" i="5"/>
  <c r="R466" i="5"/>
  <c r="Q466" i="5"/>
  <c r="P466" i="5"/>
  <c r="O466" i="5"/>
  <c r="H466" i="5"/>
  <c r="AS134" i="13" l="1"/>
  <c r="V466" i="5"/>
  <c r="N408" i="6"/>
  <c r="I408" i="6"/>
  <c r="F139" i="8"/>
  <c r="F241" i="8" s="1"/>
  <c r="F250" i="9"/>
  <c r="D50" i="10" l="1"/>
  <c r="G50" i="10" s="1"/>
  <c r="O408" i="6"/>
  <c r="AS62" i="13"/>
  <c r="AS46" i="13"/>
  <c r="AS41" i="13"/>
  <c r="AS55" i="13"/>
  <c r="AS7" i="13"/>
  <c r="U465" i="5"/>
  <c r="T465" i="5"/>
  <c r="S465" i="5"/>
  <c r="R465" i="5"/>
  <c r="Q465" i="5"/>
  <c r="P465" i="5"/>
  <c r="O465" i="5"/>
  <c r="H465" i="5"/>
  <c r="N464" i="5"/>
  <c r="N61" i="5" s="1"/>
  <c r="M464" i="5"/>
  <c r="M61" i="5" s="1"/>
  <c r="L464" i="5"/>
  <c r="L61" i="5" s="1"/>
  <c r="K464" i="5"/>
  <c r="K61" i="5" s="1"/>
  <c r="J464" i="5"/>
  <c r="J61" i="5" s="1"/>
  <c r="I464" i="5"/>
  <c r="I61" i="5" s="1"/>
  <c r="G464" i="5"/>
  <c r="G61" i="5" s="1"/>
  <c r="U61" i="5" s="1"/>
  <c r="F464" i="5"/>
  <c r="F61" i="5" s="1"/>
  <c r="T61" i="5" s="1"/>
  <c r="E464" i="5"/>
  <c r="E61" i="5" s="1"/>
  <c r="S61" i="5" s="1"/>
  <c r="D464" i="5"/>
  <c r="D61" i="5" s="1"/>
  <c r="C464" i="5"/>
  <c r="C61" i="5" s="1"/>
  <c r="B464" i="5"/>
  <c r="B61" i="5" s="1"/>
  <c r="I50" i="10" l="1"/>
  <c r="AS75" i="13"/>
  <c r="AS80" i="13"/>
  <c r="AS89" i="13"/>
  <c r="AS96" i="13"/>
  <c r="O61" i="5"/>
  <c r="H61" i="5"/>
  <c r="P61" i="5"/>
  <c r="Q61" i="5"/>
  <c r="R61" i="5"/>
  <c r="S464" i="5"/>
  <c r="T464" i="5"/>
  <c r="V465" i="5"/>
  <c r="O464" i="5"/>
  <c r="Q464" i="5"/>
  <c r="H464" i="5"/>
  <c r="AS66" i="13"/>
  <c r="R464" i="5"/>
  <c r="P464" i="5"/>
  <c r="U464" i="5"/>
  <c r="V61" i="5" l="1"/>
  <c r="V464" i="5"/>
  <c r="C50" i="10"/>
  <c r="E50" i="10" s="1"/>
  <c r="AS100" i="13"/>
  <c r="N407" i="6"/>
  <c r="I407" i="6"/>
  <c r="E139" i="8"/>
  <c r="P182" i="9"/>
  <c r="O407" i="6" l="1"/>
  <c r="E250" i="9"/>
  <c r="E241" i="8"/>
  <c r="P241" i="8" s="1"/>
  <c r="P139" i="8"/>
  <c r="H50" i="10"/>
  <c r="U463" i="5"/>
  <c r="T463" i="5"/>
  <c r="S463" i="5"/>
  <c r="R463" i="5"/>
  <c r="Q463" i="5"/>
  <c r="P463" i="5"/>
  <c r="O463" i="5"/>
  <c r="H463" i="5"/>
  <c r="P250" i="9" l="1"/>
  <c r="V463" i="5"/>
  <c r="B406" i="6"/>
  <c r="B81" i="7" s="1"/>
  <c r="M406" i="6"/>
  <c r="M81" i="7" s="1"/>
  <c r="L406" i="6"/>
  <c r="L81" i="7" s="1"/>
  <c r="K406" i="6"/>
  <c r="K81" i="7" s="1"/>
  <c r="J406" i="6"/>
  <c r="J81" i="7" s="1"/>
  <c r="H406" i="6"/>
  <c r="H81" i="7" s="1"/>
  <c r="G406" i="6"/>
  <c r="G81" i="7" s="1"/>
  <c r="F406" i="6"/>
  <c r="F81" i="7" s="1"/>
  <c r="E406" i="6"/>
  <c r="E81" i="7" s="1"/>
  <c r="D406" i="6"/>
  <c r="D81" i="7" s="1"/>
  <c r="C406" i="6"/>
  <c r="C81" i="7" s="1"/>
  <c r="N405" i="6"/>
  <c r="I405" i="6"/>
  <c r="D139" i="8"/>
  <c r="D241" i="8" s="1"/>
  <c r="O275" i="8"/>
  <c r="U275" i="8" s="1"/>
  <c r="O207" i="8"/>
  <c r="U207" i="8" s="1"/>
  <c r="O173" i="8"/>
  <c r="U173" i="8" s="1"/>
  <c r="O105" i="8"/>
  <c r="U105" i="8" s="1"/>
  <c r="O71" i="8"/>
  <c r="U71" i="8" s="1"/>
  <c r="O37" i="8"/>
  <c r="U37" i="8" s="1"/>
  <c r="D250" i="9"/>
  <c r="D61" i="11"/>
  <c r="G61" i="11" s="1"/>
  <c r="I81" i="7" l="1"/>
  <c r="N81" i="7"/>
  <c r="O81" i="7" s="1"/>
  <c r="I406" i="6"/>
  <c r="O405" i="6"/>
  <c r="N406" i="6"/>
  <c r="F61" i="11"/>
  <c r="H61" i="11"/>
  <c r="J139" i="12"/>
  <c r="I139" i="12"/>
  <c r="E139" i="12"/>
  <c r="J52" i="12"/>
  <c r="I52" i="12"/>
  <c r="E52" i="12"/>
  <c r="H232" i="12"/>
  <c r="B232" i="12"/>
  <c r="AR62" i="13"/>
  <c r="AR55" i="13"/>
  <c r="AR46" i="13"/>
  <c r="AR41" i="13"/>
  <c r="AQ46" i="13"/>
  <c r="AS28" i="13"/>
  <c r="AS21" i="13"/>
  <c r="AS12" i="13"/>
  <c r="O406" i="6" l="1"/>
  <c r="AS32" i="13"/>
  <c r="O6" i="9"/>
  <c r="D7" i="13"/>
  <c r="D109" i="13"/>
  <c r="D41" i="13"/>
  <c r="E41" i="13"/>
  <c r="U462" i="5"/>
  <c r="T462" i="5"/>
  <c r="S462" i="5"/>
  <c r="R462" i="5"/>
  <c r="Q462" i="5"/>
  <c r="P462" i="5"/>
  <c r="O462" i="5"/>
  <c r="H462" i="5"/>
  <c r="B50" i="10" l="1"/>
  <c r="V462" i="5"/>
  <c r="N404" i="6"/>
  <c r="I404" i="6"/>
  <c r="L400" i="6"/>
  <c r="K400" i="6"/>
  <c r="L396" i="6"/>
  <c r="K396" i="6"/>
  <c r="L392" i="6"/>
  <c r="K392" i="6"/>
  <c r="L388" i="6"/>
  <c r="K388" i="6"/>
  <c r="O404" i="6" l="1"/>
  <c r="K80" i="7"/>
  <c r="C139" i="8"/>
  <c r="C241" i="8" s="1"/>
  <c r="C250" i="9" l="1"/>
  <c r="M78" i="7" l="1"/>
  <c r="L78" i="7"/>
  <c r="K78" i="7"/>
  <c r="J78" i="7"/>
  <c r="C78" i="7"/>
  <c r="D78" i="7"/>
  <c r="E78" i="7"/>
  <c r="F78" i="7"/>
  <c r="G78" i="7"/>
  <c r="H78" i="7"/>
  <c r="B78" i="7"/>
  <c r="O77" i="7"/>
  <c r="N77" i="7"/>
  <c r="N76" i="7"/>
  <c r="N75" i="7"/>
  <c r="N74" i="7"/>
  <c r="N73" i="7"/>
  <c r="N72" i="7"/>
  <c r="N71" i="7"/>
  <c r="N70" i="7"/>
  <c r="N69" i="7"/>
  <c r="N68" i="7"/>
  <c r="N67" i="7"/>
  <c r="N66" i="7"/>
  <c r="N65" i="7"/>
  <c r="N64" i="7"/>
  <c r="N63" i="7"/>
  <c r="N62" i="7"/>
  <c r="N61" i="7"/>
  <c r="N60" i="7"/>
  <c r="N59" i="7"/>
  <c r="N58" i="7"/>
  <c r="N57" i="7"/>
  <c r="N56" i="7"/>
  <c r="N55" i="7"/>
  <c r="N54" i="7"/>
  <c r="N53" i="7"/>
  <c r="N52" i="7"/>
  <c r="I77" i="7"/>
  <c r="I76" i="7"/>
  <c r="O76" i="7" s="1"/>
  <c r="I75" i="7"/>
  <c r="O75" i="7" s="1"/>
  <c r="I74" i="7"/>
  <c r="O74" i="7" s="1"/>
  <c r="I73" i="7"/>
  <c r="O73" i="7" s="1"/>
  <c r="I72" i="7"/>
  <c r="I71" i="7"/>
  <c r="O71" i="7" s="1"/>
  <c r="I70" i="7"/>
  <c r="O70" i="7" s="1"/>
  <c r="I69" i="7"/>
  <c r="I68" i="7"/>
  <c r="I67" i="7"/>
  <c r="I66" i="7"/>
  <c r="I65" i="7"/>
  <c r="O65" i="7" s="1"/>
  <c r="I64" i="7"/>
  <c r="O64" i="7" s="1"/>
  <c r="I63" i="7"/>
  <c r="O63" i="7" s="1"/>
  <c r="I62" i="7"/>
  <c r="O62" i="7" s="1"/>
  <c r="I61" i="7"/>
  <c r="O61" i="7" s="1"/>
  <c r="I60" i="7"/>
  <c r="O60" i="7" s="1"/>
  <c r="I59" i="7"/>
  <c r="O59" i="7" s="1"/>
  <c r="I58" i="7"/>
  <c r="O58" i="7" s="1"/>
  <c r="I57" i="7"/>
  <c r="I56" i="7"/>
  <c r="I55" i="7"/>
  <c r="I54" i="7"/>
  <c r="I53" i="7"/>
  <c r="O53" i="7" s="1"/>
  <c r="I52" i="7"/>
  <c r="O52" i="7" s="1"/>
  <c r="O72" i="7" l="1"/>
  <c r="O54" i="7"/>
  <c r="O66" i="7"/>
  <c r="O55" i="7"/>
  <c r="O67" i="7"/>
  <c r="O56" i="7"/>
  <c r="O68" i="7"/>
  <c r="O57" i="7"/>
  <c r="O69" i="7"/>
  <c r="N78" i="7"/>
  <c r="I78" i="7"/>
  <c r="O78" i="7" s="1"/>
  <c r="U461" i="5" l="1"/>
  <c r="T461" i="5"/>
  <c r="S461" i="5"/>
  <c r="R461" i="5"/>
  <c r="Q461" i="5"/>
  <c r="P461" i="5"/>
  <c r="O461" i="5"/>
  <c r="H461" i="5"/>
  <c r="N403" i="6"/>
  <c r="I403" i="6"/>
  <c r="V461" i="5" l="1"/>
  <c r="O403" i="6"/>
  <c r="M400" i="6"/>
  <c r="J400" i="6"/>
  <c r="H400" i="6"/>
  <c r="G400" i="6"/>
  <c r="F400" i="6"/>
  <c r="E400" i="6"/>
  <c r="D400" i="6"/>
  <c r="C400" i="6"/>
  <c r="B400" i="6"/>
  <c r="B396" i="6"/>
  <c r="B139" i="8"/>
  <c r="O182" i="9"/>
  <c r="S182" i="9" s="1"/>
  <c r="S250" i="9" s="1"/>
  <c r="C136" i="12"/>
  <c r="C135" i="12"/>
  <c r="C134" i="12"/>
  <c r="C133" i="12"/>
  <c r="C132" i="12"/>
  <c r="C131" i="12"/>
  <c r="C130" i="12"/>
  <c r="C129" i="12"/>
  <c r="C128" i="12"/>
  <c r="C127" i="12"/>
  <c r="C126" i="12"/>
  <c r="C125" i="12"/>
  <c r="C124" i="12"/>
  <c r="C123" i="12"/>
  <c r="C122" i="12"/>
  <c r="C121" i="12"/>
  <c r="C120" i="12"/>
  <c r="C119" i="12"/>
  <c r="C118" i="12"/>
  <c r="C117" i="12"/>
  <c r="C116" i="12"/>
  <c r="C115" i="12"/>
  <c r="C109" i="12"/>
  <c r="C108" i="12"/>
  <c r="C107" i="12"/>
  <c r="C50" i="12"/>
  <c r="C49" i="12"/>
  <c r="C48" i="12"/>
  <c r="C47" i="12"/>
  <c r="C46" i="12"/>
  <c r="C45" i="12"/>
  <c r="C44" i="12"/>
  <c r="C43" i="12"/>
  <c r="C42" i="12"/>
  <c r="C41" i="12"/>
  <c r="C40" i="12"/>
  <c r="C39" i="12"/>
  <c r="C38" i="12"/>
  <c r="C37" i="12"/>
  <c r="C36" i="12"/>
  <c r="C35" i="12"/>
  <c r="C34" i="12"/>
  <c r="C33" i="12"/>
  <c r="C32" i="12"/>
  <c r="C31" i="12"/>
  <c r="C30" i="12"/>
  <c r="C29" i="12"/>
  <c r="C28" i="12"/>
  <c r="C27" i="12"/>
  <c r="C25" i="12"/>
  <c r="C24" i="12"/>
  <c r="C23" i="12"/>
  <c r="C22" i="12"/>
  <c r="C21" i="12"/>
  <c r="C20" i="12"/>
  <c r="C19" i="12"/>
  <c r="C18" i="12"/>
  <c r="C17" i="12"/>
  <c r="C16" i="12"/>
  <c r="C15" i="12"/>
  <c r="C14" i="12"/>
  <c r="C13" i="12"/>
  <c r="C12" i="12"/>
  <c r="C11" i="12"/>
  <c r="C10" i="12"/>
  <c r="C93" i="12"/>
  <c r="C92" i="12"/>
  <c r="C91" i="12"/>
  <c r="C90" i="12"/>
  <c r="C89" i="12"/>
  <c r="C88" i="12"/>
  <c r="C87" i="12"/>
  <c r="C86" i="12"/>
  <c r="C85" i="12"/>
  <c r="C84" i="12"/>
  <c r="C83" i="12"/>
  <c r="C82" i="12"/>
  <c r="N458" i="5"/>
  <c r="M458" i="5"/>
  <c r="L458" i="5"/>
  <c r="K458" i="5"/>
  <c r="J458" i="5"/>
  <c r="I458" i="5"/>
  <c r="G458" i="5"/>
  <c r="F458" i="5"/>
  <c r="E458" i="5"/>
  <c r="D458" i="5"/>
  <c r="C458" i="5"/>
  <c r="B458" i="5"/>
  <c r="M249" i="9"/>
  <c r="U457" i="5"/>
  <c r="T457" i="5"/>
  <c r="S457" i="5"/>
  <c r="R457" i="5"/>
  <c r="Q457" i="5"/>
  <c r="P457" i="5"/>
  <c r="O457" i="5"/>
  <c r="H457" i="5"/>
  <c r="E140" i="12" l="1"/>
  <c r="E53" i="12"/>
  <c r="C233" i="12"/>
  <c r="E233" i="12" s="1"/>
  <c r="I400" i="6"/>
  <c r="H458" i="5"/>
  <c r="B250" i="9"/>
  <c r="B241" i="8"/>
  <c r="O241" i="8" s="1"/>
  <c r="U241" i="8" s="1"/>
  <c r="O139" i="8"/>
  <c r="U139" i="8" s="1"/>
  <c r="O458" i="5"/>
  <c r="N400" i="6"/>
  <c r="V457" i="5"/>
  <c r="N399" i="6"/>
  <c r="I399" i="6"/>
  <c r="G53" i="12" l="1"/>
  <c r="J53" i="12"/>
  <c r="D233" i="12"/>
  <c r="J233" i="12" s="1"/>
  <c r="I140" i="12"/>
  <c r="O250" i="9"/>
  <c r="O400" i="6"/>
  <c r="O399" i="6"/>
  <c r="R36" i="8"/>
  <c r="T37" i="8" s="1"/>
  <c r="R70" i="8"/>
  <c r="T71" i="8" s="1"/>
  <c r="R104" i="8"/>
  <c r="T105" i="8" s="1"/>
  <c r="R172" i="8"/>
  <c r="T173" i="8" s="1"/>
  <c r="R206" i="8"/>
  <c r="T207" i="8" s="1"/>
  <c r="R274" i="8"/>
  <c r="T275" i="8" s="1"/>
  <c r="M138" i="8"/>
  <c r="M240" i="8" s="1"/>
  <c r="R36" i="9"/>
  <c r="U37" i="9" s="1"/>
  <c r="S70" i="9"/>
  <c r="R70" i="9"/>
  <c r="U71" i="9" s="1"/>
  <c r="S104" i="9"/>
  <c r="Q104" i="9"/>
  <c r="R215" i="9"/>
  <c r="I53" i="12" l="1"/>
  <c r="G233" i="12"/>
  <c r="U216" i="9"/>
  <c r="B60" i="11" s="1"/>
  <c r="E138" i="12"/>
  <c r="U456" i="5"/>
  <c r="T456" i="5"/>
  <c r="S456" i="5"/>
  <c r="R456" i="5"/>
  <c r="Q456" i="5"/>
  <c r="P456" i="5"/>
  <c r="O456" i="5"/>
  <c r="H456" i="5"/>
  <c r="P49" i="10" l="1"/>
  <c r="I233" i="12"/>
  <c r="F233" i="12"/>
  <c r="V456" i="5"/>
  <c r="N398" i="6"/>
  <c r="I398" i="6"/>
  <c r="L138" i="8"/>
  <c r="L240" i="8" s="1"/>
  <c r="L249" i="9"/>
  <c r="AR130" i="13"/>
  <c r="AR123" i="13"/>
  <c r="AR114" i="13"/>
  <c r="AR109" i="13"/>
  <c r="AR66" i="13"/>
  <c r="AR28" i="13"/>
  <c r="AR21" i="13"/>
  <c r="AR12" i="13"/>
  <c r="AR7" i="13"/>
  <c r="AQ130" i="13"/>
  <c r="AQ123" i="13"/>
  <c r="AQ114" i="13"/>
  <c r="AQ109" i="13"/>
  <c r="AQ62" i="13"/>
  <c r="AQ55" i="13"/>
  <c r="AQ41" i="13"/>
  <c r="AQ28" i="13"/>
  <c r="AQ21" i="13"/>
  <c r="AQ12" i="13"/>
  <c r="AQ7" i="13"/>
  <c r="AP7" i="13"/>
  <c r="AP12" i="13"/>
  <c r="AP21" i="13"/>
  <c r="AP28" i="13"/>
  <c r="AP41" i="13"/>
  <c r="AP46" i="13"/>
  <c r="AP55" i="13"/>
  <c r="AP62" i="13"/>
  <c r="AP109" i="13"/>
  <c r="AP114" i="13"/>
  <c r="AP123" i="13"/>
  <c r="AP130" i="13"/>
  <c r="AR96" i="13" l="1"/>
  <c r="AR134" i="13"/>
  <c r="AP66" i="13"/>
  <c r="AQ134" i="13"/>
  <c r="AR32" i="13"/>
  <c r="AQ32" i="13"/>
  <c r="AQ66" i="13"/>
  <c r="AP134" i="13"/>
  <c r="AP32" i="13"/>
  <c r="O398" i="6"/>
  <c r="D49" i="10" l="1"/>
  <c r="D48" i="10"/>
  <c r="I48" i="10" s="1"/>
  <c r="G48" i="10"/>
  <c r="I49" i="10"/>
  <c r="G49" i="10"/>
  <c r="U455" i="5"/>
  <c r="U458" i="5" s="1"/>
  <c r="T455" i="5"/>
  <c r="T458" i="5" s="1"/>
  <c r="S455" i="5"/>
  <c r="S458" i="5" s="1"/>
  <c r="R455" i="5"/>
  <c r="R458" i="5" s="1"/>
  <c r="Q455" i="5"/>
  <c r="Q458" i="5" s="1"/>
  <c r="P455" i="5"/>
  <c r="P458" i="5" s="1"/>
  <c r="O455" i="5"/>
  <c r="H455" i="5"/>
  <c r="V458" i="5" l="1"/>
  <c r="V455" i="5"/>
  <c r="N397" i="6"/>
  <c r="I397" i="6"/>
  <c r="O397" i="6" l="1"/>
  <c r="R181" i="9"/>
  <c r="U182" i="9" s="1"/>
  <c r="C60" i="11" s="1"/>
  <c r="K138" i="8" l="1"/>
  <c r="K249" i="9"/>
  <c r="R249" i="9" l="1"/>
  <c r="K240" i="8"/>
  <c r="R240" i="8" s="1"/>
  <c r="T241" i="8" s="1"/>
  <c r="R138" i="8"/>
  <c r="T139" i="8" s="1"/>
  <c r="N454" i="5"/>
  <c r="M454" i="5"/>
  <c r="L454" i="5"/>
  <c r="K454" i="5"/>
  <c r="J454" i="5"/>
  <c r="I454" i="5"/>
  <c r="G454" i="5"/>
  <c r="F454" i="5"/>
  <c r="E454" i="5"/>
  <c r="D454" i="5"/>
  <c r="C454" i="5"/>
  <c r="B454" i="5"/>
  <c r="U453" i="5"/>
  <c r="T453" i="5"/>
  <c r="S453" i="5"/>
  <c r="R453" i="5"/>
  <c r="Q453" i="5"/>
  <c r="P453" i="5"/>
  <c r="O453" i="5"/>
  <c r="H452" i="5"/>
  <c r="H453" i="5"/>
  <c r="U250" i="9" l="1"/>
  <c r="U454" i="5"/>
  <c r="S454" i="5"/>
  <c r="T454" i="5"/>
  <c r="H454" i="5"/>
  <c r="P454" i="5"/>
  <c r="O454" i="5"/>
  <c r="Q454" i="5"/>
  <c r="R454" i="5"/>
  <c r="V453" i="5"/>
  <c r="V454" i="5" l="1"/>
  <c r="M396" i="6"/>
  <c r="J396" i="6"/>
  <c r="H396" i="6"/>
  <c r="G396" i="6"/>
  <c r="F396" i="6"/>
  <c r="E396" i="6"/>
  <c r="D396" i="6"/>
  <c r="C396" i="6"/>
  <c r="N395" i="6"/>
  <c r="I395" i="6"/>
  <c r="Q274" i="8"/>
  <c r="Q206" i="8"/>
  <c r="Q172" i="8"/>
  <c r="J138" i="8"/>
  <c r="J240" i="8" s="1"/>
  <c r="Q104" i="8"/>
  <c r="Q70" i="8"/>
  <c r="Q36" i="8"/>
  <c r="J249" i="9"/>
  <c r="Q215" i="9"/>
  <c r="R104" i="9"/>
  <c r="U105" i="9" s="1"/>
  <c r="Q36" i="9"/>
  <c r="Q70" i="9"/>
  <c r="C49" i="10"/>
  <c r="C48" i="10"/>
  <c r="J185" i="12"/>
  <c r="E185" i="12"/>
  <c r="J184" i="12"/>
  <c r="I184" i="12"/>
  <c r="E184" i="12"/>
  <c r="J138" i="12"/>
  <c r="I137" i="12"/>
  <c r="E137" i="12"/>
  <c r="J137" i="12"/>
  <c r="J51" i="12"/>
  <c r="J50" i="12"/>
  <c r="I50" i="12"/>
  <c r="E50" i="12"/>
  <c r="U452" i="5"/>
  <c r="T452" i="5"/>
  <c r="S452" i="5"/>
  <c r="R452" i="5"/>
  <c r="Q452" i="5"/>
  <c r="P452" i="5"/>
  <c r="O452" i="5"/>
  <c r="N394" i="6"/>
  <c r="I394" i="6"/>
  <c r="I138" i="8"/>
  <c r="I240" i="8" s="1"/>
  <c r="I249" i="9"/>
  <c r="P36" i="9"/>
  <c r="I396" i="6" l="1"/>
  <c r="N396" i="6"/>
  <c r="O395" i="6"/>
  <c r="O394" i="6"/>
  <c r="I51" i="12"/>
  <c r="E51" i="12"/>
  <c r="V452" i="5"/>
  <c r="O396" i="6" l="1"/>
  <c r="O185" i="6"/>
  <c r="N185" i="6"/>
  <c r="M185" i="6"/>
  <c r="L185" i="6"/>
  <c r="K185" i="6"/>
  <c r="J185" i="6"/>
  <c r="I185" i="6"/>
  <c r="H185" i="6"/>
  <c r="G185" i="6"/>
  <c r="F185" i="6"/>
  <c r="E185" i="6"/>
  <c r="D185" i="6"/>
  <c r="C185" i="6"/>
  <c r="B185" i="6"/>
  <c r="O181" i="6"/>
  <c r="N181" i="6"/>
  <c r="M181" i="6"/>
  <c r="L181" i="6"/>
  <c r="K181" i="6"/>
  <c r="J181" i="6"/>
  <c r="I181" i="6"/>
  <c r="H181" i="6"/>
  <c r="G181" i="6"/>
  <c r="F181" i="6"/>
  <c r="E181" i="6"/>
  <c r="D181" i="6"/>
  <c r="C181" i="6"/>
  <c r="B181" i="6"/>
  <c r="O177" i="6"/>
  <c r="N177" i="6"/>
  <c r="M177" i="6"/>
  <c r="L177" i="6"/>
  <c r="K177" i="6"/>
  <c r="J177" i="6"/>
  <c r="I177" i="6"/>
  <c r="H177" i="6"/>
  <c r="G177" i="6"/>
  <c r="F177" i="6"/>
  <c r="E177" i="6"/>
  <c r="D177" i="6"/>
  <c r="C177" i="6"/>
  <c r="B177" i="6"/>
  <c r="O173" i="6"/>
  <c r="N173" i="6"/>
  <c r="M173" i="6"/>
  <c r="L173" i="6"/>
  <c r="K173" i="6"/>
  <c r="J173" i="6"/>
  <c r="I173" i="6"/>
  <c r="H173" i="6"/>
  <c r="G173" i="6"/>
  <c r="F173" i="6"/>
  <c r="E173" i="6"/>
  <c r="D173" i="6"/>
  <c r="C173" i="6"/>
  <c r="B173" i="6"/>
  <c r="O168" i="6"/>
  <c r="N168" i="6"/>
  <c r="M168" i="6"/>
  <c r="L168" i="6"/>
  <c r="K168" i="6"/>
  <c r="J168" i="6"/>
  <c r="I168" i="6"/>
  <c r="H168" i="6"/>
  <c r="G168" i="6"/>
  <c r="F168" i="6"/>
  <c r="E168" i="6"/>
  <c r="D168" i="6"/>
  <c r="C168" i="6"/>
  <c r="B168" i="6"/>
  <c r="O164" i="6"/>
  <c r="N164" i="6"/>
  <c r="M164" i="6"/>
  <c r="L164" i="6"/>
  <c r="K164" i="6"/>
  <c r="J164" i="6"/>
  <c r="I164" i="6"/>
  <c r="H164" i="6"/>
  <c r="G164" i="6"/>
  <c r="F164" i="6"/>
  <c r="E164" i="6"/>
  <c r="D164" i="6"/>
  <c r="C164" i="6"/>
  <c r="B164" i="6"/>
  <c r="O160" i="6"/>
  <c r="N160" i="6"/>
  <c r="M160" i="6"/>
  <c r="L160" i="6"/>
  <c r="K160" i="6"/>
  <c r="J160" i="6"/>
  <c r="I160" i="6"/>
  <c r="H160" i="6"/>
  <c r="G160" i="6"/>
  <c r="F160" i="6"/>
  <c r="E160" i="6"/>
  <c r="D160" i="6"/>
  <c r="C160" i="6"/>
  <c r="B160" i="6"/>
  <c r="O156" i="6"/>
  <c r="N156" i="6"/>
  <c r="M156" i="6"/>
  <c r="L156" i="6"/>
  <c r="K156" i="6"/>
  <c r="J156" i="6"/>
  <c r="I156" i="6"/>
  <c r="H156" i="6"/>
  <c r="G156" i="6"/>
  <c r="F156" i="6"/>
  <c r="E156" i="6"/>
  <c r="D156" i="6"/>
  <c r="C156" i="6"/>
  <c r="B156" i="6"/>
  <c r="O150" i="6"/>
  <c r="N150" i="6"/>
  <c r="M150" i="6"/>
  <c r="L150" i="6"/>
  <c r="K150" i="6"/>
  <c r="J150" i="6"/>
  <c r="I150" i="6"/>
  <c r="H150" i="6"/>
  <c r="G150" i="6"/>
  <c r="F150" i="6"/>
  <c r="E150" i="6"/>
  <c r="D150" i="6"/>
  <c r="C150" i="6"/>
  <c r="B150" i="6"/>
  <c r="O146" i="6"/>
  <c r="N146" i="6"/>
  <c r="M146" i="6"/>
  <c r="L146" i="6"/>
  <c r="K146" i="6"/>
  <c r="J146" i="6"/>
  <c r="I146" i="6"/>
  <c r="H146" i="6"/>
  <c r="G146" i="6"/>
  <c r="F146" i="6"/>
  <c r="E146" i="6"/>
  <c r="D146" i="6"/>
  <c r="C146" i="6"/>
  <c r="B146" i="6"/>
  <c r="O142" i="6"/>
  <c r="N142" i="6"/>
  <c r="M142" i="6"/>
  <c r="L142" i="6"/>
  <c r="K142" i="6"/>
  <c r="J142" i="6"/>
  <c r="I142" i="6"/>
  <c r="H142" i="6"/>
  <c r="G142" i="6"/>
  <c r="F142" i="6"/>
  <c r="E142" i="6"/>
  <c r="D142" i="6"/>
  <c r="C142" i="6"/>
  <c r="B142" i="6"/>
  <c r="O138" i="6"/>
  <c r="N138" i="6"/>
  <c r="M138" i="6"/>
  <c r="L138" i="6"/>
  <c r="K138" i="6"/>
  <c r="J138" i="6"/>
  <c r="I138" i="6"/>
  <c r="H138" i="6"/>
  <c r="G138" i="6"/>
  <c r="F138" i="6"/>
  <c r="E138" i="6"/>
  <c r="D138" i="6"/>
  <c r="C138" i="6"/>
  <c r="B138" i="6"/>
  <c r="O132" i="6"/>
  <c r="N132" i="6"/>
  <c r="M132" i="6"/>
  <c r="L132" i="6"/>
  <c r="K132" i="6"/>
  <c r="J132" i="6"/>
  <c r="I132" i="6"/>
  <c r="H132" i="6"/>
  <c r="G132" i="6"/>
  <c r="F132" i="6"/>
  <c r="E132" i="6"/>
  <c r="D132" i="6"/>
  <c r="C132" i="6"/>
  <c r="B132" i="6"/>
  <c r="U451" i="5"/>
  <c r="T451" i="5"/>
  <c r="S451" i="5"/>
  <c r="R451" i="5"/>
  <c r="Q451" i="5"/>
  <c r="P451" i="5"/>
  <c r="O451" i="5"/>
  <c r="H451" i="5"/>
  <c r="N393" i="6"/>
  <c r="I393" i="6"/>
  <c r="V451" i="5" l="1"/>
  <c r="O393" i="6"/>
  <c r="H138" i="8"/>
  <c r="AQ96" i="13"/>
  <c r="AR94" i="13"/>
  <c r="AR93" i="13"/>
  <c r="AR92" i="13"/>
  <c r="AR89" i="13"/>
  <c r="AR88" i="13"/>
  <c r="AR85" i="13"/>
  <c r="AR84" i="13"/>
  <c r="AR83" i="13"/>
  <c r="AR80" i="13"/>
  <c r="AR79" i="13"/>
  <c r="AR78" i="13"/>
  <c r="AR75" i="13"/>
  <c r="AR73" i="13"/>
  <c r="AQ95" i="13"/>
  <c r="AQ94" i="13"/>
  <c r="AQ93" i="13"/>
  <c r="AQ92" i="13"/>
  <c r="AQ88" i="13"/>
  <c r="AQ85" i="13"/>
  <c r="AQ84" i="13"/>
  <c r="AQ83" i="13"/>
  <c r="AQ79" i="13"/>
  <c r="AQ78" i="13"/>
  <c r="AQ75" i="13"/>
  <c r="AQ73" i="13"/>
  <c r="B48" i="10"/>
  <c r="B49" i="10"/>
  <c r="Q138" i="8" l="1"/>
  <c r="H240" i="8"/>
  <c r="Q240" i="8" s="1"/>
  <c r="H249" i="9"/>
  <c r="Q249" i="9" s="1"/>
  <c r="Q181" i="9"/>
  <c r="AQ100" i="13"/>
  <c r="AQ89" i="13"/>
  <c r="AR100" i="13"/>
  <c r="AQ80" i="13"/>
  <c r="U449" i="5" l="1"/>
  <c r="T449" i="5"/>
  <c r="S449" i="5"/>
  <c r="R449" i="5"/>
  <c r="Q449" i="5"/>
  <c r="P449" i="5"/>
  <c r="O449" i="5"/>
  <c r="H449" i="5"/>
  <c r="N450" i="5"/>
  <c r="M450" i="5"/>
  <c r="L450" i="5"/>
  <c r="K450" i="5"/>
  <c r="J450" i="5"/>
  <c r="I450" i="5"/>
  <c r="G450" i="5"/>
  <c r="F450" i="5"/>
  <c r="E450" i="5"/>
  <c r="D450" i="5"/>
  <c r="C450" i="5"/>
  <c r="B450" i="5"/>
  <c r="T450" i="5" l="1"/>
  <c r="U450" i="5"/>
  <c r="S450" i="5"/>
  <c r="Q450" i="5"/>
  <c r="R450" i="5"/>
  <c r="V449" i="5"/>
  <c r="O450" i="5"/>
  <c r="H450" i="5"/>
  <c r="P450" i="5"/>
  <c r="V450" i="5" l="1"/>
  <c r="M392" i="6"/>
  <c r="J392" i="6"/>
  <c r="H392" i="6"/>
  <c r="G392" i="6"/>
  <c r="F392" i="6"/>
  <c r="E392" i="6"/>
  <c r="D392" i="6"/>
  <c r="C392" i="6"/>
  <c r="B392" i="6"/>
  <c r="N391" i="6"/>
  <c r="I391" i="6"/>
  <c r="P274" i="8"/>
  <c r="P172" i="8"/>
  <c r="P104" i="8"/>
  <c r="G138" i="8"/>
  <c r="G240" i="8" s="1"/>
  <c r="P70" i="8"/>
  <c r="P36" i="8"/>
  <c r="O391" i="6" l="1"/>
  <c r="N392" i="6"/>
  <c r="I392" i="6"/>
  <c r="P215" i="9"/>
  <c r="G249" i="9"/>
  <c r="P104" i="9"/>
  <c r="P70" i="9"/>
  <c r="E49" i="10"/>
  <c r="O392" i="6" l="1"/>
  <c r="N446" i="5"/>
  <c r="N60" i="5" s="1"/>
  <c r="M446" i="5"/>
  <c r="M60" i="5" s="1"/>
  <c r="L446" i="5"/>
  <c r="L60" i="5" s="1"/>
  <c r="K446" i="5"/>
  <c r="K60" i="5" s="1"/>
  <c r="J446" i="5"/>
  <c r="J60" i="5" s="1"/>
  <c r="I446" i="5"/>
  <c r="I60" i="5" s="1"/>
  <c r="C446" i="5"/>
  <c r="C60" i="5" s="1"/>
  <c r="Q60" i="5" s="1"/>
  <c r="D446" i="5"/>
  <c r="D60" i="5" s="1"/>
  <c r="E446" i="5"/>
  <c r="E60" i="5" s="1"/>
  <c r="S60" i="5" s="1"/>
  <c r="F446" i="5"/>
  <c r="F60" i="5" s="1"/>
  <c r="T60" i="5" s="1"/>
  <c r="G446" i="5"/>
  <c r="G60" i="5" s="1"/>
  <c r="U60" i="5" s="1"/>
  <c r="B446" i="5"/>
  <c r="B60" i="5" s="1"/>
  <c r="R60" i="5" l="1"/>
  <c r="O60" i="5"/>
  <c r="P60" i="5"/>
  <c r="V60" i="5" s="1"/>
  <c r="H60" i="5"/>
  <c r="S446" i="5"/>
  <c r="R446" i="5"/>
  <c r="Q446" i="5"/>
  <c r="U446" i="5"/>
  <c r="T446" i="5"/>
  <c r="O446" i="5"/>
  <c r="H446" i="5"/>
  <c r="P446" i="5"/>
  <c r="C388" i="6"/>
  <c r="C80" i="7" s="1"/>
  <c r="D388" i="6"/>
  <c r="D80" i="7" s="1"/>
  <c r="E388" i="6"/>
  <c r="E80" i="7" s="1"/>
  <c r="F388" i="6"/>
  <c r="F80" i="7" s="1"/>
  <c r="G388" i="6"/>
  <c r="G80" i="7" s="1"/>
  <c r="H388" i="6"/>
  <c r="H80" i="7" s="1"/>
  <c r="B388" i="6"/>
  <c r="B80" i="7" s="1"/>
  <c r="M388" i="6"/>
  <c r="M80" i="7" s="1"/>
  <c r="L80" i="7"/>
  <c r="J388" i="6"/>
  <c r="J80" i="7" s="1"/>
  <c r="U448" i="5"/>
  <c r="T448" i="5"/>
  <c r="S448" i="5"/>
  <c r="R448" i="5"/>
  <c r="Q448" i="5"/>
  <c r="P448" i="5"/>
  <c r="O448" i="5"/>
  <c r="H448" i="5"/>
  <c r="N80" i="7" l="1"/>
  <c r="I80" i="7"/>
  <c r="V448" i="5"/>
  <c r="V446" i="5"/>
  <c r="N388" i="6"/>
  <c r="I388" i="6"/>
  <c r="N390" i="6"/>
  <c r="I390" i="6"/>
  <c r="F138" i="8"/>
  <c r="F240" i="8" s="1"/>
  <c r="O80" i="7" l="1"/>
  <c r="O390" i="6"/>
  <c r="F249" i="9"/>
  <c r="U447" i="5" l="1"/>
  <c r="T447" i="5"/>
  <c r="S447" i="5"/>
  <c r="R447" i="5"/>
  <c r="Q447" i="5"/>
  <c r="P447" i="5"/>
  <c r="O447" i="5"/>
  <c r="H447" i="5"/>
  <c r="N389" i="6"/>
  <c r="I389" i="6"/>
  <c r="E138" i="8"/>
  <c r="E240" i="8" s="1"/>
  <c r="P240" i="8" s="1"/>
  <c r="O389" i="6" l="1"/>
  <c r="P138" i="8"/>
  <c r="E249" i="9"/>
  <c r="P249" i="9" s="1"/>
  <c r="P181" i="9"/>
  <c r="V447" i="5"/>
  <c r="H49" i="10" l="1"/>
  <c r="B231" i="12"/>
  <c r="D231" i="12"/>
  <c r="C231" i="12" l="1"/>
  <c r="E231" i="12" s="1"/>
  <c r="J231" i="12"/>
  <c r="U444" i="5" l="1"/>
  <c r="T444" i="5"/>
  <c r="S444" i="5"/>
  <c r="R444" i="5"/>
  <c r="Q444" i="5"/>
  <c r="P444" i="5"/>
  <c r="O444" i="5"/>
  <c r="H444" i="5"/>
  <c r="H445" i="5"/>
  <c r="O445" i="5"/>
  <c r="P445" i="5"/>
  <c r="Q445" i="5"/>
  <c r="R445" i="5"/>
  <c r="S445" i="5"/>
  <c r="T445" i="5"/>
  <c r="U445" i="5"/>
  <c r="V444" i="5" l="1"/>
  <c r="V445" i="5"/>
  <c r="N387" i="6" l="1"/>
  <c r="N386" i="6"/>
  <c r="I386" i="6"/>
  <c r="O274" i="8"/>
  <c r="U274" i="8" s="1"/>
  <c r="O206" i="8"/>
  <c r="U206" i="8" s="1"/>
  <c r="O172" i="8"/>
  <c r="U172" i="8" s="1"/>
  <c r="D138" i="8"/>
  <c r="D240" i="8" s="1"/>
  <c r="O104" i="8"/>
  <c r="U104" i="8" s="1"/>
  <c r="O70" i="8"/>
  <c r="U70" i="8" s="1"/>
  <c r="O36" i="8"/>
  <c r="U36" i="8" s="1"/>
  <c r="O215" i="9"/>
  <c r="S215" i="9" s="1"/>
  <c r="D249" i="9"/>
  <c r="O104" i="9"/>
  <c r="O70" i="9"/>
  <c r="O36" i="9"/>
  <c r="S36" i="9" s="1"/>
  <c r="D60" i="11"/>
  <c r="H60" i="11" s="1"/>
  <c r="O386" i="6" l="1"/>
  <c r="F60" i="11"/>
  <c r="G60" i="11"/>
  <c r="N440" i="5"/>
  <c r="M440" i="5"/>
  <c r="L440" i="5"/>
  <c r="K440" i="5"/>
  <c r="J440" i="5"/>
  <c r="I440" i="5"/>
  <c r="G440" i="5"/>
  <c r="F440" i="5"/>
  <c r="E440" i="5"/>
  <c r="D440" i="5"/>
  <c r="C440" i="5"/>
  <c r="B440" i="5"/>
  <c r="M382" i="6"/>
  <c r="L382" i="6"/>
  <c r="K382" i="6"/>
  <c r="J382" i="6"/>
  <c r="H382" i="6"/>
  <c r="G382" i="6"/>
  <c r="F382" i="6"/>
  <c r="E382" i="6"/>
  <c r="D382" i="6"/>
  <c r="L378" i="6"/>
  <c r="K378" i="6"/>
  <c r="J378" i="6"/>
  <c r="H378" i="6"/>
  <c r="G378" i="6"/>
  <c r="F378" i="6"/>
  <c r="E378" i="6"/>
  <c r="D378" i="6"/>
  <c r="L374" i="6"/>
  <c r="K374" i="6"/>
  <c r="J374" i="6"/>
  <c r="H374" i="6"/>
  <c r="G374" i="6"/>
  <c r="F374" i="6"/>
  <c r="E374" i="6"/>
  <c r="D374" i="6"/>
  <c r="E370" i="6"/>
  <c r="F370" i="6"/>
  <c r="G370" i="6"/>
  <c r="H370" i="6"/>
  <c r="I370" i="6"/>
  <c r="J370" i="6"/>
  <c r="K370" i="6"/>
  <c r="L370" i="6"/>
  <c r="L79" i="7" s="1"/>
  <c r="N370" i="6"/>
  <c r="D370" i="6"/>
  <c r="C378" i="6"/>
  <c r="B378" i="6"/>
  <c r="I387" i="6"/>
  <c r="C382" i="6"/>
  <c r="B382" i="6"/>
  <c r="C138" i="8"/>
  <c r="C240" i="8" s="1"/>
  <c r="C249" i="9"/>
  <c r="K79" i="7" l="1"/>
  <c r="J79" i="7"/>
  <c r="H79" i="7"/>
  <c r="E79" i="7"/>
  <c r="C79" i="7"/>
  <c r="G79" i="7"/>
  <c r="F79" i="7"/>
  <c r="D79" i="7"/>
  <c r="B79" i="7"/>
  <c r="O370" i="6"/>
  <c r="H440" i="5"/>
  <c r="O440" i="5"/>
  <c r="O387" i="6"/>
  <c r="U443" i="5" l="1"/>
  <c r="T443" i="5"/>
  <c r="S443" i="5"/>
  <c r="R443" i="5"/>
  <c r="Q443" i="5"/>
  <c r="P443" i="5"/>
  <c r="O443" i="5"/>
  <c r="H443" i="5"/>
  <c r="V443" i="5" l="1"/>
  <c r="I385" i="6"/>
  <c r="N385" i="6"/>
  <c r="B138" i="8"/>
  <c r="B240" i="8" s="1"/>
  <c r="O385" i="6" l="1"/>
  <c r="O388" i="6"/>
  <c r="O240" i="8"/>
  <c r="U240" i="8" s="1"/>
  <c r="O138" i="8"/>
  <c r="U138" i="8" s="1"/>
  <c r="U439" i="5"/>
  <c r="T439" i="5"/>
  <c r="S439" i="5"/>
  <c r="R439" i="5"/>
  <c r="Q439" i="5"/>
  <c r="P439" i="5"/>
  <c r="O439" i="5"/>
  <c r="H439" i="5"/>
  <c r="U438" i="5"/>
  <c r="T438" i="5"/>
  <c r="S438" i="5"/>
  <c r="R438" i="5"/>
  <c r="Q438" i="5"/>
  <c r="P438" i="5"/>
  <c r="O438" i="5"/>
  <c r="H438" i="5"/>
  <c r="U437" i="5"/>
  <c r="T437" i="5"/>
  <c r="S437" i="5"/>
  <c r="R437" i="5"/>
  <c r="Q437" i="5"/>
  <c r="P437" i="5"/>
  <c r="O437" i="5"/>
  <c r="H437" i="5"/>
  <c r="V436" i="5"/>
  <c r="U436" i="5"/>
  <c r="T436" i="5"/>
  <c r="S436" i="5"/>
  <c r="R436" i="5"/>
  <c r="Q436" i="5"/>
  <c r="P436" i="5"/>
  <c r="O436" i="5"/>
  <c r="N436" i="5"/>
  <c r="N59" i="5" s="1"/>
  <c r="M436" i="5"/>
  <c r="M59" i="5" s="1"/>
  <c r="L436" i="5"/>
  <c r="L59" i="5" s="1"/>
  <c r="K436" i="5"/>
  <c r="K59" i="5" s="1"/>
  <c r="J436" i="5"/>
  <c r="J59" i="5" s="1"/>
  <c r="I436" i="5"/>
  <c r="I59" i="5" s="1"/>
  <c r="H436" i="5"/>
  <c r="G436" i="5"/>
  <c r="G59" i="5" s="1"/>
  <c r="U59" i="5" s="1"/>
  <c r="F436" i="5"/>
  <c r="F59" i="5" s="1"/>
  <c r="T59" i="5" s="1"/>
  <c r="E436" i="5"/>
  <c r="E59" i="5" s="1"/>
  <c r="S59" i="5" s="1"/>
  <c r="D436" i="5"/>
  <c r="D59" i="5" s="1"/>
  <c r="R59" i="5" s="1"/>
  <c r="C436" i="5"/>
  <c r="C59" i="5" s="1"/>
  <c r="B436" i="5"/>
  <c r="B59" i="5" s="1"/>
  <c r="N381" i="6"/>
  <c r="I381" i="6"/>
  <c r="N380" i="6"/>
  <c r="I380" i="6"/>
  <c r="N379" i="6"/>
  <c r="I379" i="6"/>
  <c r="M377" i="6"/>
  <c r="M378" i="6" s="1"/>
  <c r="I377" i="6"/>
  <c r="I378" i="6" s="1"/>
  <c r="M372" i="6"/>
  <c r="N372" i="6" s="1"/>
  <c r="N374" i="6" s="1"/>
  <c r="I372" i="6"/>
  <c r="I374" i="6" s="1"/>
  <c r="M371" i="6"/>
  <c r="M369" i="6"/>
  <c r="O368" i="6"/>
  <c r="M368" i="6"/>
  <c r="M367" i="6"/>
  <c r="L128" i="6"/>
  <c r="K128" i="6"/>
  <c r="J128" i="6"/>
  <c r="H128" i="6"/>
  <c r="G128" i="6"/>
  <c r="F128" i="6"/>
  <c r="E128" i="6"/>
  <c r="D128" i="6"/>
  <c r="C128" i="6"/>
  <c r="B128" i="6"/>
  <c r="M127" i="6"/>
  <c r="I127" i="6"/>
  <c r="M126" i="6"/>
  <c r="N126" i="6" s="1"/>
  <c r="I126" i="6"/>
  <c r="M125" i="6"/>
  <c r="N125" i="6" s="1"/>
  <c r="I125" i="6"/>
  <c r="L124" i="6"/>
  <c r="K124" i="6"/>
  <c r="J124" i="6"/>
  <c r="H124" i="6"/>
  <c r="G124" i="6"/>
  <c r="F124" i="6"/>
  <c r="E124" i="6"/>
  <c r="D124" i="6"/>
  <c r="C124" i="6"/>
  <c r="B124" i="6"/>
  <c r="M123" i="6"/>
  <c r="N123" i="6" s="1"/>
  <c r="I123" i="6"/>
  <c r="M122" i="6"/>
  <c r="N122" i="6" s="1"/>
  <c r="I122" i="6"/>
  <c r="M121" i="6"/>
  <c r="N121" i="6" s="1"/>
  <c r="I121" i="6"/>
  <c r="L120" i="6"/>
  <c r="K120" i="6"/>
  <c r="J120" i="6"/>
  <c r="H120" i="6"/>
  <c r="G120" i="6"/>
  <c r="F120" i="6"/>
  <c r="E120" i="6"/>
  <c r="D120" i="6"/>
  <c r="C120" i="6"/>
  <c r="B120" i="6"/>
  <c r="M119" i="6"/>
  <c r="N119" i="6" s="1"/>
  <c r="I119" i="6"/>
  <c r="M118" i="6"/>
  <c r="N118" i="6" s="1"/>
  <c r="I118" i="6"/>
  <c r="M117" i="6"/>
  <c r="I117" i="6"/>
  <c r="L114" i="6"/>
  <c r="K114" i="6"/>
  <c r="J114" i="6"/>
  <c r="H114" i="6"/>
  <c r="G114" i="6"/>
  <c r="F114" i="6"/>
  <c r="E114" i="6"/>
  <c r="D114" i="6"/>
  <c r="C114" i="6"/>
  <c r="B114" i="6"/>
  <c r="M113" i="6"/>
  <c r="N113" i="6" s="1"/>
  <c r="I113" i="6"/>
  <c r="M112" i="6"/>
  <c r="N112" i="6" s="1"/>
  <c r="I112" i="6"/>
  <c r="M111" i="6"/>
  <c r="N111" i="6" s="1"/>
  <c r="I111" i="6"/>
  <c r="L110" i="6"/>
  <c r="K110" i="6"/>
  <c r="J110" i="6"/>
  <c r="H110" i="6"/>
  <c r="G110" i="6"/>
  <c r="F110" i="6"/>
  <c r="E110" i="6"/>
  <c r="D110" i="6"/>
  <c r="C110" i="6"/>
  <c r="B110" i="6"/>
  <c r="M109" i="6"/>
  <c r="N109" i="6" s="1"/>
  <c r="I109" i="6"/>
  <c r="M108" i="6"/>
  <c r="N108" i="6" s="1"/>
  <c r="I108" i="6"/>
  <c r="M107" i="6"/>
  <c r="N107" i="6" s="1"/>
  <c r="I107" i="6"/>
  <c r="M106" i="6"/>
  <c r="L106" i="6"/>
  <c r="K106" i="6"/>
  <c r="J106" i="6"/>
  <c r="H106" i="6"/>
  <c r="G106" i="6"/>
  <c r="F106" i="6"/>
  <c r="E106" i="6"/>
  <c r="D106" i="6"/>
  <c r="C106" i="6"/>
  <c r="B106" i="6"/>
  <c r="N105" i="6"/>
  <c r="I105" i="6"/>
  <c r="N104" i="6"/>
  <c r="I104" i="6"/>
  <c r="N103" i="6"/>
  <c r="I103" i="6"/>
  <c r="M102" i="6"/>
  <c r="L102" i="6"/>
  <c r="K102" i="6"/>
  <c r="J102" i="6"/>
  <c r="H102" i="6"/>
  <c r="G102" i="6"/>
  <c r="F102" i="6"/>
  <c r="E102" i="6"/>
  <c r="D102" i="6"/>
  <c r="C102" i="6"/>
  <c r="B102" i="6"/>
  <c r="N101" i="6"/>
  <c r="I101" i="6"/>
  <c r="N100" i="6"/>
  <c r="I100" i="6"/>
  <c r="N99" i="6"/>
  <c r="I99" i="6"/>
  <c r="M96" i="6"/>
  <c r="L96" i="6"/>
  <c r="K96" i="6"/>
  <c r="J96" i="6"/>
  <c r="H96" i="6"/>
  <c r="G96" i="6"/>
  <c r="F96" i="6"/>
  <c r="E96" i="6"/>
  <c r="D96" i="6"/>
  <c r="C96" i="6"/>
  <c r="B96" i="6"/>
  <c r="N95" i="6"/>
  <c r="I95" i="6"/>
  <c r="N94" i="6"/>
  <c r="I94" i="6"/>
  <c r="N93" i="6"/>
  <c r="I93" i="6"/>
  <c r="M92" i="6"/>
  <c r="L92" i="6"/>
  <c r="K92" i="6"/>
  <c r="J92" i="6"/>
  <c r="H92" i="6"/>
  <c r="G92" i="6"/>
  <c r="F92" i="6"/>
  <c r="E92" i="6"/>
  <c r="D92" i="6"/>
  <c r="C92" i="6"/>
  <c r="B92" i="6"/>
  <c r="N91" i="6"/>
  <c r="I91" i="6"/>
  <c r="N90" i="6"/>
  <c r="I90" i="6"/>
  <c r="N89" i="6"/>
  <c r="I89" i="6"/>
  <c r="M88" i="6"/>
  <c r="L88" i="6"/>
  <c r="K88" i="6"/>
  <c r="J88" i="6"/>
  <c r="H88" i="6"/>
  <c r="G88" i="6"/>
  <c r="F88" i="6"/>
  <c r="E88" i="6"/>
  <c r="D88" i="6"/>
  <c r="C88" i="6"/>
  <c r="B88" i="6"/>
  <c r="N87" i="6"/>
  <c r="I87" i="6"/>
  <c r="N86" i="6"/>
  <c r="I86" i="6"/>
  <c r="N85" i="6"/>
  <c r="I85" i="6"/>
  <c r="M84" i="6"/>
  <c r="L84" i="6"/>
  <c r="K84" i="6"/>
  <c r="J84" i="6"/>
  <c r="H84" i="6"/>
  <c r="G84" i="6"/>
  <c r="F84" i="6"/>
  <c r="E84" i="6"/>
  <c r="D84" i="6"/>
  <c r="C84" i="6"/>
  <c r="B84" i="6"/>
  <c r="N83" i="6"/>
  <c r="I83" i="6"/>
  <c r="N82" i="6"/>
  <c r="I82" i="6"/>
  <c r="N81" i="6"/>
  <c r="I81" i="6"/>
  <c r="L78" i="6"/>
  <c r="K78" i="6"/>
  <c r="J78" i="6"/>
  <c r="H78" i="6"/>
  <c r="G78" i="6"/>
  <c r="F78" i="6"/>
  <c r="E78" i="6"/>
  <c r="D78" i="6"/>
  <c r="C78" i="6"/>
  <c r="B78" i="6"/>
  <c r="N77" i="6"/>
  <c r="I77" i="6"/>
  <c r="N76" i="6"/>
  <c r="I76" i="6"/>
  <c r="M75" i="6"/>
  <c r="M78" i="6" s="1"/>
  <c r="I75" i="6"/>
  <c r="L74" i="6"/>
  <c r="K74" i="6"/>
  <c r="J74" i="6"/>
  <c r="H74" i="6"/>
  <c r="G74" i="6"/>
  <c r="F74" i="6"/>
  <c r="E74" i="6"/>
  <c r="D74" i="6"/>
  <c r="C74" i="6"/>
  <c r="B74" i="6"/>
  <c r="M73" i="6"/>
  <c r="N73" i="6" s="1"/>
  <c r="I73" i="6"/>
  <c r="M72" i="6"/>
  <c r="N72" i="6" s="1"/>
  <c r="I72" i="6"/>
  <c r="M71" i="6"/>
  <c r="I71" i="6"/>
  <c r="L70" i="6"/>
  <c r="K70" i="6"/>
  <c r="J70" i="6"/>
  <c r="H70" i="6"/>
  <c r="G70" i="6"/>
  <c r="F70" i="6"/>
  <c r="E70" i="6"/>
  <c r="D70" i="6"/>
  <c r="C70" i="6"/>
  <c r="B70" i="6"/>
  <c r="M69" i="6"/>
  <c r="N69" i="6" s="1"/>
  <c r="I69" i="6"/>
  <c r="M68" i="6"/>
  <c r="N68" i="6" s="1"/>
  <c r="I68" i="6"/>
  <c r="M67" i="6"/>
  <c r="N67" i="6" s="1"/>
  <c r="I67" i="6"/>
  <c r="L66" i="6"/>
  <c r="K66" i="6"/>
  <c r="J66" i="6"/>
  <c r="H66" i="6"/>
  <c r="G66" i="6"/>
  <c r="F66" i="6"/>
  <c r="E66" i="6"/>
  <c r="D66" i="6"/>
  <c r="C66" i="6"/>
  <c r="B66" i="6"/>
  <c r="M65" i="6"/>
  <c r="N65" i="6" s="1"/>
  <c r="I65" i="6"/>
  <c r="M64" i="6"/>
  <c r="N64" i="6" s="1"/>
  <c r="I64" i="6"/>
  <c r="M63" i="6"/>
  <c r="N63" i="6" s="1"/>
  <c r="I63" i="6"/>
  <c r="L60" i="6"/>
  <c r="K60" i="6"/>
  <c r="J60" i="6"/>
  <c r="H60" i="6"/>
  <c r="G60" i="6"/>
  <c r="F60" i="6"/>
  <c r="E60" i="6"/>
  <c r="D60" i="6"/>
  <c r="C60" i="6"/>
  <c r="B60" i="6"/>
  <c r="M59" i="6"/>
  <c r="N59" i="6" s="1"/>
  <c r="I59" i="6"/>
  <c r="M58" i="6"/>
  <c r="N58" i="6" s="1"/>
  <c r="I58" i="6"/>
  <c r="M57" i="6"/>
  <c r="N57" i="6" s="1"/>
  <c r="I57" i="6"/>
  <c r="L56" i="6"/>
  <c r="K56" i="6"/>
  <c r="J56" i="6"/>
  <c r="H56" i="6"/>
  <c r="G56" i="6"/>
  <c r="F56" i="6"/>
  <c r="E56" i="6"/>
  <c r="D56" i="6"/>
  <c r="C56" i="6"/>
  <c r="B56" i="6"/>
  <c r="M55" i="6"/>
  <c r="I55" i="6"/>
  <c r="M54" i="6"/>
  <c r="N54" i="6" s="1"/>
  <c r="I54" i="6"/>
  <c r="M53" i="6"/>
  <c r="N53" i="6" s="1"/>
  <c r="I53" i="6"/>
  <c r="L52" i="6"/>
  <c r="K52" i="6"/>
  <c r="J52" i="6"/>
  <c r="H52" i="6"/>
  <c r="G52" i="6"/>
  <c r="F52" i="6"/>
  <c r="E52" i="6"/>
  <c r="D52" i="6"/>
  <c r="C52" i="6"/>
  <c r="B52" i="6"/>
  <c r="M51" i="6"/>
  <c r="N51" i="6" s="1"/>
  <c r="I51" i="6"/>
  <c r="M50" i="6"/>
  <c r="N50" i="6" s="1"/>
  <c r="I50" i="6"/>
  <c r="M49" i="6"/>
  <c r="N49" i="6" s="1"/>
  <c r="I49" i="6"/>
  <c r="L48" i="6"/>
  <c r="K48" i="6"/>
  <c r="J48" i="6"/>
  <c r="H48" i="6"/>
  <c r="G48" i="6"/>
  <c r="F48" i="6"/>
  <c r="E48" i="6"/>
  <c r="D48" i="6"/>
  <c r="C48" i="6"/>
  <c r="B48" i="6"/>
  <c r="M47" i="6"/>
  <c r="N47" i="6" s="1"/>
  <c r="I47" i="6"/>
  <c r="M46" i="6"/>
  <c r="N46" i="6" s="1"/>
  <c r="I46" i="6"/>
  <c r="M45" i="6"/>
  <c r="I45" i="6"/>
  <c r="L42" i="6"/>
  <c r="K42" i="6"/>
  <c r="J42" i="6"/>
  <c r="H42" i="6"/>
  <c r="G42" i="6"/>
  <c r="F42" i="6"/>
  <c r="E42" i="6"/>
  <c r="D42" i="6"/>
  <c r="C42" i="6"/>
  <c r="B42" i="6"/>
  <c r="M41" i="6"/>
  <c r="N41" i="6" s="1"/>
  <c r="I41" i="6"/>
  <c r="M40" i="6"/>
  <c r="N40" i="6" s="1"/>
  <c r="I40" i="6"/>
  <c r="M39" i="6"/>
  <c r="N39" i="6" s="1"/>
  <c r="I39" i="6"/>
  <c r="L38" i="6"/>
  <c r="K38" i="6"/>
  <c r="J38" i="6"/>
  <c r="H38" i="6"/>
  <c r="G38" i="6"/>
  <c r="F38" i="6"/>
  <c r="E38" i="6"/>
  <c r="D38" i="6"/>
  <c r="C38" i="6"/>
  <c r="B38" i="6"/>
  <c r="M37" i="6"/>
  <c r="N37" i="6" s="1"/>
  <c r="I37" i="6"/>
  <c r="M36" i="6"/>
  <c r="N36" i="6" s="1"/>
  <c r="I36" i="6"/>
  <c r="M35" i="6"/>
  <c r="N35" i="6" s="1"/>
  <c r="I35" i="6"/>
  <c r="L34" i="6"/>
  <c r="K34" i="6"/>
  <c r="J34" i="6"/>
  <c r="H34" i="6"/>
  <c r="G34" i="6"/>
  <c r="F34" i="6"/>
  <c r="E34" i="6"/>
  <c r="D34" i="6"/>
  <c r="C34" i="6"/>
  <c r="B34" i="6"/>
  <c r="M33" i="6"/>
  <c r="N33" i="6" s="1"/>
  <c r="I33" i="6"/>
  <c r="M32" i="6"/>
  <c r="N32" i="6" s="1"/>
  <c r="I32" i="6"/>
  <c r="M31" i="6"/>
  <c r="N31" i="6" s="1"/>
  <c r="I31" i="6"/>
  <c r="L30" i="6"/>
  <c r="K30" i="6"/>
  <c r="J30" i="6"/>
  <c r="H30" i="6"/>
  <c r="G30" i="6"/>
  <c r="F30" i="6"/>
  <c r="E30" i="6"/>
  <c r="D30" i="6"/>
  <c r="C30" i="6"/>
  <c r="B30" i="6"/>
  <c r="M29" i="6"/>
  <c r="I29" i="6"/>
  <c r="M28" i="6"/>
  <c r="N28" i="6" s="1"/>
  <c r="I28" i="6"/>
  <c r="M27" i="6"/>
  <c r="N27" i="6" s="1"/>
  <c r="I27" i="6"/>
  <c r="L24" i="6"/>
  <c r="K24" i="6"/>
  <c r="J24" i="6"/>
  <c r="H24" i="6"/>
  <c r="G24" i="6"/>
  <c r="F24" i="6"/>
  <c r="E24" i="6"/>
  <c r="D24" i="6"/>
  <c r="C24" i="6"/>
  <c r="B24" i="6"/>
  <c r="M23" i="6"/>
  <c r="N23" i="6" s="1"/>
  <c r="I23" i="6"/>
  <c r="M22" i="6"/>
  <c r="N22" i="6" s="1"/>
  <c r="I22" i="6"/>
  <c r="M21" i="6"/>
  <c r="N21" i="6" s="1"/>
  <c r="I21" i="6"/>
  <c r="L20" i="6"/>
  <c r="K20" i="6"/>
  <c r="J20" i="6"/>
  <c r="H20" i="6"/>
  <c r="G20" i="6"/>
  <c r="F20" i="6"/>
  <c r="E20" i="6"/>
  <c r="D20" i="6"/>
  <c r="C20" i="6"/>
  <c r="B20" i="6"/>
  <c r="M19" i="6"/>
  <c r="N19" i="6" s="1"/>
  <c r="I19" i="6"/>
  <c r="M18" i="6"/>
  <c r="N18" i="6" s="1"/>
  <c r="I18" i="6"/>
  <c r="N17" i="6"/>
  <c r="I17" i="6"/>
  <c r="M16" i="6"/>
  <c r="L16" i="6"/>
  <c r="K16" i="6"/>
  <c r="J16" i="6"/>
  <c r="H16" i="6"/>
  <c r="G16" i="6"/>
  <c r="F16" i="6"/>
  <c r="E16" i="6"/>
  <c r="D16" i="6"/>
  <c r="C16" i="6"/>
  <c r="B16" i="6"/>
  <c r="N15" i="6"/>
  <c r="I15" i="6"/>
  <c r="N14" i="6"/>
  <c r="I14" i="6"/>
  <c r="N13" i="6"/>
  <c r="I13" i="6"/>
  <c r="M12" i="6"/>
  <c r="L12" i="6"/>
  <c r="K12" i="6"/>
  <c r="J12" i="6"/>
  <c r="H12" i="6"/>
  <c r="G12" i="6"/>
  <c r="F12" i="6"/>
  <c r="E12" i="6"/>
  <c r="D12" i="6"/>
  <c r="C12" i="6"/>
  <c r="B12" i="6"/>
  <c r="N11" i="6"/>
  <c r="I11" i="6"/>
  <c r="N10" i="6"/>
  <c r="I10" i="6"/>
  <c r="N9" i="6"/>
  <c r="I9" i="6"/>
  <c r="I79" i="7"/>
  <c r="N51" i="7"/>
  <c r="I51" i="7"/>
  <c r="N50" i="7"/>
  <c r="I50" i="7"/>
  <c r="O50" i="7" s="1"/>
  <c r="N49" i="7"/>
  <c r="I49" i="7"/>
  <c r="N48" i="7"/>
  <c r="I48" i="7"/>
  <c r="O48" i="7" s="1"/>
  <c r="N47" i="7"/>
  <c r="I47" i="7"/>
  <c r="N46" i="7"/>
  <c r="I46" i="7"/>
  <c r="O46" i="7" s="1"/>
  <c r="N45" i="7"/>
  <c r="I45" i="7"/>
  <c r="O45" i="7" s="1"/>
  <c r="N44" i="7"/>
  <c r="I44" i="7"/>
  <c r="O44" i="7" s="1"/>
  <c r="N43" i="7"/>
  <c r="I43" i="7"/>
  <c r="N42" i="7"/>
  <c r="I42" i="7"/>
  <c r="O42" i="7" s="1"/>
  <c r="N41" i="7"/>
  <c r="I41" i="7"/>
  <c r="N40" i="7"/>
  <c r="I40" i="7"/>
  <c r="O40" i="7" s="1"/>
  <c r="N39" i="7"/>
  <c r="I39" i="7"/>
  <c r="O39" i="7" s="1"/>
  <c r="N38" i="7"/>
  <c r="I38" i="7"/>
  <c r="O38" i="7" s="1"/>
  <c r="N37" i="7"/>
  <c r="I37" i="7"/>
  <c r="N36" i="7"/>
  <c r="I36" i="7"/>
  <c r="O36" i="7" s="1"/>
  <c r="N35" i="7"/>
  <c r="I35" i="7"/>
  <c r="N34" i="7"/>
  <c r="I34" i="7"/>
  <c r="O34" i="7" s="1"/>
  <c r="N33" i="7"/>
  <c r="I33" i="7"/>
  <c r="O33" i="7" s="1"/>
  <c r="N32" i="7"/>
  <c r="I32" i="7"/>
  <c r="O32" i="7" s="1"/>
  <c r="N31" i="7"/>
  <c r="O31" i="7"/>
  <c r="N30" i="7"/>
  <c r="O30" i="7"/>
  <c r="N29" i="7"/>
  <c r="N28" i="7"/>
  <c r="O28" i="7" s="1"/>
  <c r="N27" i="7"/>
  <c r="I27" i="7"/>
  <c r="N26" i="7"/>
  <c r="I26" i="7"/>
  <c r="O26" i="7" s="1"/>
  <c r="N25" i="7"/>
  <c r="I25" i="7"/>
  <c r="N24" i="7"/>
  <c r="I24" i="7"/>
  <c r="O24" i="7" s="1"/>
  <c r="N23" i="7"/>
  <c r="I23" i="7"/>
  <c r="N22" i="7"/>
  <c r="I22" i="7"/>
  <c r="N21" i="7"/>
  <c r="I21" i="7"/>
  <c r="O21" i="7" s="1"/>
  <c r="N20" i="7"/>
  <c r="I20" i="7"/>
  <c r="O20" i="7" s="1"/>
  <c r="N19" i="7"/>
  <c r="I19" i="7"/>
  <c r="N18" i="7"/>
  <c r="I18" i="7"/>
  <c r="O18" i="7" s="1"/>
  <c r="N17" i="7"/>
  <c r="I17" i="7"/>
  <c r="N16" i="7"/>
  <c r="I16" i="7"/>
  <c r="N15" i="7"/>
  <c r="I15" i="7"/>
  <c r="O15" i="7" s="1"/>
  <c r="N14" i="7"/>
  <c r="I14" i="7"/>
  <c r="O14" i="7" s="1"/>
  <c r="N13" i="7"/>
  <c r="I13" i="7"/>
  <c r="N12" i="7"/>
  <c r="I12" i="7"/>
  <c r="O12" i="7" s="1"/>
  <c r="N11" i="7"/>
  <c r="I11" i="7"/>
  <c r="N10" i="7"/>
  <c r="I10" i="7"/>
  <c r="N9" i="7"/>
  <c r="I9" i="7"/>
  <c r="O9" i="7" s="1"/>
  <c r="N8" i="7"/>
  <c r="I8" i="7"/>
  <c r="O8" i="7" s="1"/>
  <c r="A8" i="7"/>
  <c r="A9" i="7" s="1"/>
  <c r="A10" i="7" s="1"/>
  <c r="A11" i="7" s="1"/>
  <c r="A12" i="7" s="1"/>
  <c r="A13" i="7" s="1"/>
  <c r="A14" i="7" s="1"/>
  <c r="A15" i="7" s="1"/>
  <c r="A16" i="7" s="1"/>
  <c r="A17" i="7" s="1"/>
  <c r="A18" i="7" s="1"/>
  <c r="A19" i="7" s="1"/>
  <c r="A20" i="7" s="1"/>
  <c r="A21" i="7" s="1"/>
  <c r="A22" i="7" s="1"/>
  <c r="A23" i="7" s="1"/>
  <c r="A24" i="7" s="1"/>
  <c r="A25" i="7" s="1"/>
  <c r="A26" i="7" s="1"/>
  <c r="A27" i="7" s="1"/>
  <c r="N7" i="7"/>
  <c r="I7" i="7"/>
  <c r="R273" i="8"/>
  <c r="T274" i="8" s="1"/>
  <c r="Q273" i="8"/>
  <c r="P273" i="8"/>
  <c r="O273" i="8"/>
  <c r="R272" i="8"/>
  <c r="Q272" i="8"/>
  <c r="P272" i="8"/>
  <c r="O272" i="8"/>
  <c r="R271" i="8"/>
  <c r="Q271" i="8"/>
  <c r="P271" i="8"/>
  <c r="O271" i="8"/>
  <c r="R270" i="8"/>
  <c r="Q270" i="8"/>
  <c r="P270" i="8"/>
  <c r="O270" i="8"/>
  <c r="R269" i="8"/>
  <c r="Q269" i="8"/>
  <c r="P269" i="8"/>
  <c r="O269" i="8"/>
  <c r="R268" i="8"/>
  <c r="Q268" i="8"/>
  <c r="P268" i="8"/>
  <c r="O268" i="8"/>
  <c r="R267" i="8"/>
  <c r="Q267" i="8"/>
  <c r="P267" i="8"/>
  <c r="O267" i="8"/>
  <c r="R266" i="8"/>
  <c r="Q266" i="8"/>
  <c r="P266" i="8"/>
  <c r="O266" i="8"/>
  <c r="R265" i="8"/>
  <c r="Q265" i="8"/>
  <c r="P265" i="8"/>
  <c r="O265" i="8"/>
  <c r="R264" i="8"/>
  <c r="Q264" i="8"/>
  <c r="P264" i="8"/>
  <c r="O264" i="8"/>
  <c r="R263" i="8"/>
  <c r="Q263" i="8"/>
  <c r="P263" i="8"/>
  <c r="O263" i="8"/>
  <c r="R262" i="8"/>
  <c r="Q262" i="8"/>
  <c r="P262" i="8"/>
  <c r="O262" i="8"/>
  <c r="R261" i="8"/>
  <c r="Q261" i="8"/>
  <c r="P261" i="8"/>
  <c r="O261" i="8"/>
  <c r="R260" i="8"/>
  <c r="Q260" i="8"/>
  <c r="P260" i="8"/>
  <c r="O260" i="8"/>
  <c r="R259" i="8"/>
  <c r="Q259" i="8"/>
  <c r="P259" i="8"/>
  <c r="O259" i="8"/>
  <c r="R258" i="8"/>
  <c r="Q258" i="8"/>
  <c r="P258" i="8"/>
  <c r="O258" i="8"/>
  <c r="R257" i="8"/>
  <c r="Q257" i="8"/>
  <c r="P257" i="8"/>
  <c r="O257" i="8"/>
  <c r="R256" i="8"/>
  <c r="Q256" i="8"/>
  <c r="P256" i="8"/>
  <c r="O256" i="8"/>
  <c r="R255" i="8"/>
  <c r="Q255" i="8"/>
  <c r="P255" i="8"/>
  <c r="O255" i="8"/>
  <c r="R254" i="8"/>
  <c r="Q254" i="8"/>
  <c r="P254" i="8"/>
  <c r="O254" i="8"/>
  <c r="R253" i="8"/>
  <c r="Q253" i="8"/>
  <c r="P253" i="8"/>
  <c r="O253" i="8"/>
  <c r="R252" i="8"/>
  <c r="Q252" i="8"/>
  <c r="P252" i="8"/>
  <c r="O252" i="8"/>
  <c r="R251" i="8"/>
  <c r="Q251" i="8"/>
  <c r="P251" i="8"/>
  <c r="O251" i="8"/>
  <c r="R250" i="8"/>
  <c r="Q250" i="8"/>
  <c r="P250" i="8"/>
  <c r="O250" i="8"/>
  <c r="R249" i="8"/>
  <c r="Q249" i="8"/>
  <c r="P249" i="8"/>
  <c r="O249" i="8"/>
  <c r="R248" i="8"/>
  <c r="Q248" i="8"/>
  <c r="P248" i="8"/>
  <c r="O248" i="8"/>
  <c r="R247" i="8"/>
  <c r="Q247" i="8"/>
  <c r="P247" i="8"/>
  <c r="O247" i="8"/>
  <c r="R246" i="8"/>
  <c r="Q246" i="8"/>
  <c r="P246" i="8"/>
  <c r="O246" i="8"/>
  <c r="R245" i="8"/>
  <c r="Q245" i="8"/>
  <c r="P245" i="8"/>
  <c r="O245" i="8"/>
  <c r="R244" i="8"/>
  <c r="Q244" i="8"/>
  <c r="P244" i="8"/>
  <c r="O244" i="8"/>
  <c r="R205" i="8"/>
  <c r="T206" i="8" s="1"/>
  <c r="Q205" i="8"/>
  <c r="P205" i="8"/>
  <c r="O205" i="8"/>
  <c r="R204" i="8"/>
  <c r="Q204" i="8"/>
  <c r="P204" i="8"/>
  <c r="O204" i="8"/>
  <c r="R203" i="8"/>
  <c r="Q203" i="8"/>
  <c r="P203" i="8"/>
  <c r="O203" i="8"/>
  <c r="R202" i="8"/>
  <c r="Q202" i="8"/>
  <c r="P202" i="8"/>
  <c r="O202" i="8"/>
  <c r="R201" i="8"/>
  <c r="Q201" i="8"/>
  <c r="P201" i="8"/>
  <c r="O201" i="8"/>
  <c r="R200" i="8"/>
  <c r="Q200" i="8"/>
  <c r="P200" i="8"/>
  <c r="O200" i="8"/>
  <c r="R199" i="8"/>
  <c r="Q199" i="8"/>
  <c r="P199" i="8"/>
  <c r="O199" i="8"/>
  <c r="R198" i="8"/>
  <c r="Q198" i="8"/>
  <c r="P198" i="8"/>
  <c r="O198" i="8"/>
  <c r="R197" i="8"/>
  <c r="Q197" i="8"/>
  <c r="P197" i="8"/>
  <c r="O197" i="8"/>
  <c r="R196" i="8"/>
  <c r="Q196" i="8"/>
  <c r="P196" i="8"/>
  <c r="O196" i="8"/>
  <c r="R195" i="8"/>
  <c r="Q195" i="8"/>
  <c r="P195" i="8"/>
  <c r="O195" i="8"/>
  <c r="R194" i="8"/>
  <c r="Q194" i="8"/>
  <c r="O194" i="8"/>
  <c r="P194" i="8"/>
  <c r="R193" i="8"/>
  <c r="P186" i="8"/>
  <c r="O186" i="8"/>
  <c r="R185" i="8"/>
  <c r="O185" i="8"/>
  <c r="R184" i="8"/>
  <c r="Q184" i="8"/>
  <c r="O184" i="8"/>
  <c r="P184" i="8"/>
  <c r="R183" i="8"/>
  <c r="Q183" i="8"/>
  <c r="P183" i="8"/>
  <c r="O183" i="8"/>
  <c r="R182" i="8"/>
  <c r="Q182" i="8"/>
  <c r="P182" i="8"/>
  <c r="O182" i="8"/>
  <c r="R181" i="8"/>
  <c r="Q181" i="8"/>
  <c r="P181" i="8"/>
  <c r="O181" i="8"/>
  <c r="R180" i="8"/>
  <c r="P180" i="8"/>
  <c r="O180" i="8"/>
  <c r="Q180" i="8"/>
  <c r="R179" i="8"/>
  <c r="Q179" i="8"/>
  <c r="P179" i="8"/>
  <c r="O179" i="8"/>
  <c r="R178" i="8"/>
  <c r="Q178" i="8"/>
  <c r="P178" i="8"/>
  <c r="O178" i="8"/>
  <c r="R177" i="8"/>
  <c r="Q177" i="8"/>
  <c r="P177" i="8"/>
  <c r="O177" i="8"/>
  <c r="R176" i="8"/>
  <c r="Q176" i="8"/>
  <c r="P176" i="8"/>
  <c r="O176" i="8"/>
  <c r="R171" i="8"/>
  <c r="T172" i="8" s="1"/>
  <c r="Q171" i="8"/>
  <c r="P171" i="8"/>
  <c r="O171" i="8"/>
  <c r="R170" i="8"/>
  <c r="Q170" i="8"/>
  <c r="P170" i="8"/>
  <c r="O170" i="8"/>
  <c r="R169" i="8"/>
  <c r="Q169" i="8"/>
  <c r="P169" i="8"/>
  <c r="O169" i="8"/>
  <c r="R168" i="8"/>
  <c r="Q168" i="8"/>
  <c r="P168" i="8"/>
  <c r="O168" i="8"/>
  <c r="R167" i="8"/>
  <c r="Q167" i="8"/>
  <c r="P167" i="8"/>
  <c r="O167" i="8"/>
  <c r="R166" i="8"/>
  <c r="Q166" i="8"/>
  <c r="P166" i="8"/>
  <c r="O166" i="8"/>
  <c r="R165" i="8"/>
  <c r="Q165" i="8"/>
  <c r="P165" i="8"/>
  <c r="O165" i="8"/>
  <c r="R164" i="8"/>
  <c r="Q164" i="8"/>
  <c r="P164" i="8"/>
  <c r="O164" i="8"/>
  <c r="R163" i="8"/>
  <c r="Q163" i="8"/>
  <c r="P163" i="8"/>
  <c r="O163" i="8"/>
  <c r="R162" i="8"/>
  <c r="Q162" i="8"/>
  <c r="P162" i="8"/>
  <c r="O162" i="8"/>
  <c r="R161" i="8"/>
  <c r="Q161" i="8"/>
  <c r="P161" i="8"/>
  <c r="O161" i="8"/>
  <c r="R160" i="8"/>
  <c r="Q160" i="8"/>
  <c r="P160" i="8"/>
  <c r="O160" i="8"/>
  <c r="R159" i="8"/>
  <c r="Q159" i="8"/>
  <c r="P159" i="8"/>
  <c r="O159" i="8"/>
  <c r="R158" i="8"/>
  <c r="Q158" i="8"/>
  <c r="P158" i="8"/>
  <c r="O158" i="8"/>
  <c r="R157" i="8"/>
  <c r="Q157" i="8"/>
  <c r="P157" i="8"/>
  <c r="O157" i="8"/>
  <c r="R156" i="8"/>
  <c r="Q156" i="8"/>
  <c r="P156" i="8"/>
  <c r="O156" i="8"/>
  <c r="R155" i="8"/>
  <c r="Q155" i="8"/>
  <c r="P155" i="8"/>
  <c r="O155" i="8"/>
  <c r="R154" i="8"/>
  <c r="Q154" i="8"/>
  <c r="P154" i="8"/>
  <c r="O154" i="8"/>
  <c r="R153" i="8"/>
  <c r="Q153" i="8"/>
  <c r="P153" i="8"/>
  <c r="O153" i="8"/>
  <c r="R152" i="8"/>
  <c r="Q152" i="8"/>
  <c r="P152" i="8"/>
  <c r="O152" i="8"/>
  <c r="R151" i="8"/>
  <c r="Q151" i="8"/>
  <c r="P151" i="8"/>
  <c r="O151" i="8"/>
  <c r="R150" i="8"/>
  <c r="Q150" i="8"/>
  <c r="P150" i="8"/>
  <c r="O150" i="8"/>
  <c r="R149" i="8"/>
  <c r="Q149" i="8"/>
  <c r="P149" i="8"/>
  <c r="O149" i="8"/>
  <c r="R148" i="8"/>
  <c r="Q148" i="8"/>
  <c r="P148" i="8"/>
  <c r="O148" i="8"/>
  <c r="R147" i="8"/>
  <c r="Q147" i="8"/>
  <c r="P147" i="8"/>
  <c r="O147" i="8"/>
  <c r="R146" i="8"/>
  <c r="Q146" i="8"/>
  <c r="P146" i="8"/>
  <c r="O146" i="8"/>
  <c r="R145" i="8"/>
  <c r="Q145" i="8"/>
  <c r="P145" i="8"/>
  <c r="O145" i="8"/>
  <c r="R144" i="8"/>
  <c r="Q144" i="8"/>
  <c r="P144" i="8"/>
  <c r="O144" i="8"/>
  <c r="R143" i="8"/>
  <c r="Q143" i="8"/>
  <c r="P143" i="8"/>
  <c r="O143" i="8"/>
  <c r="R142" i="8"/>
  <c r="Q142" i="8"/>
  <c r="P142" i="8"/>
  <c r="O142" i="8"/>
  <c r="M137" i="8"/>
  <c r="M239" i="8" s="1"/>
  <c r="L137" i="8"/>
  <c r="L239" i="8" s="1"/>
  <c r="K137" i="8"/>
  <c r="K239" i="8" s="1"/>
  <c r="J137" i="8"/>
  <c r="J239" i="8" s="1"/>
  <c r="I137" i="8"/>
  <c r="I239" i="8" s="1"/>
  <c r="H137" i="8"/>
  <c r="H239" i="8" s="1"/>
  <c r="G137" i="8"/>
  <c r="G239" i="8" s="1"/>
  <c r="F137" i="8"/>
  <c r="F239" i="8" s="1"/>
  <c r="E137" i="8"/>
  <c r="E239" i="8" s="1"/>
  <c r="D137" i="8"/>
  <c r="D239" i="8" s="1"/>
  <c r="C137" i="8"/>
  <c r="C239" i="8" s="1"/>
  <c r="B137" i="8"/>
  <c r="M136" i="8"/>
  <c r="M238" i="8" s="1"/>
  <c r="L136" i="8"/>
  <c r="L238" i="8" s="1"/>
  <c r="K136" i="8"/>
  <c r="K238" i="8" s="1"/>
  <c r="J136" i="8"/>
  <c r="J238" i="8" s="1"/>
  <c r="I136" i="8"/>
  <c r="I238" i="8" s="1"/>
  <c r="H136" i="8"/>
  <c r="H238" i="8" s="1"/>
  <c r="G136" i="8"/>
  <c r="G238" i="8" s="1"/>
  <c r="F136" i="8"/>
  <c r="F238" i="8" s="1"/>
  <c r="E136" i="8"/>
  <c r="D136" i="8"/>
  <c r="D238" i="8" s="1"/>
  <c r="C136" i="8"/>
  <c r="C238" i="8" s="1"/>
  <c r="B136" i="8"/>
  <c r="M135" i="8"/>
  <c r="M237" i="8" s="1"/>
  <c r="L135" i="8"/>
  <c r="L237" i="8" s="1"/>
  <c r="K135" i="8"/>
  <c r="K237" i="8" s="1"/>
  <c r="J135" i="8"/>
  <c r="J237" i="8" s="1"/>
  <c r="I135" i="8"/>
  <c r="I237" i="8" s="1"/>
  <c r="H135" i="8"/>
  <c r="H237" i="8" s="1"/>
  <c r="G135" i="8"/>
  <c r="G237" i="8" s="1"/>
  <c r="F135" i="8"/>
  <c r="F237" i="8" s="1"/>
  <c r="E135" i="8"/>
  <c r="E237" i="8" s="1"/>
  <c r="D135" i="8"/>
  <c r="D237" i="8" s="1"/>
  <c r="C135" i="8"/>
  <c r="C237" i="8" s="1"/>
  <c r="B135" i="8"/>
  <c r="M134" i="8"/>
  <c r="M236" i="8" s="1"/>
  <c r="L134" i="8"/>
  <c r="L236" i="8" s="1"/>
  <c r="K134" i="8"/>
  <c r="J134" i="8"/>
  <c r="J236" i="8" s="1"/>
  <c r="I134" i="8"/>
  <c r="I236" i="8" s="1"/>
  <c r="H134" i="8"/>
  <c r="H236" i="8" s="1"/>
  <c r="G134" i="8"/>
  <c r="G236" i="8" s="1"/>
  <c r="F134" i="8"/>
  <c r="F236" i="8" s="1"/>
  <c r="E134" i="8"/>
  <c r="D134" i="8"/>
  <c r="D236" i="8" s="1"/>
  <c r="C134" i="8"/>
  <c r="C236" i="8" s="1"/>
  <c r="B134" i="8"/>
  <c r="M133" i="8"/>
  <c r="M235" i="8" s="1"/>
  <c r="L133" i="8"/>
  <c r="L235" i="8" s="1"/>
  <c r="K133" i="8"/>
  <c r="K235" i="8" s="1"/>
  <c r="J133" i="8"/>
  <c r="J235" i="8" s="1"/>
  <c r="I133" i="8"/>
  <c r="I235" i="8" s="1"/>
  <c r="H133" i="8"/>
  <c r="G133" i="8"/>
  <c r="G235" i="8" s="1"/>
  <c r="F133" i="8"/>
  <c r="F235" i="8" s="1"/>
  <c r="E133" i="8"/>
  <c r="D133" i="8"/>
  <c r="D235" i="8" s="1"/>
  <c r="C133" i="8"/>
  <c r="C235" i="8" s="1"/>
  <c r="B133" i="8"/>
  <c r="M132" i="8"/>
  <c r="M234" i="8" s="1"/>
  <c r="L132" i="8"/>
  <c r="L234" i="8" s="1"/>
  <c r="K132" i="8"/>
  <c r="J132" i="8"/>
  <c r="J234" i="8" s="1"/>
  <c r="I132" i="8"/>
  <c r="I234" i="8" s="1"/>
  <c r="H132" i="8"/>
  <c r="H234" i="8" s="1"/>
  <c r="G132" i="8"/>
  <c r="G234" i="8" s="1"/>
  <c r="F132" i="8"/>
  <c r="F234" i="8" s="1"/>
  <c r="E132" i="8"/>
  <c r="E234" i="8" s="1"/>
  <c r="D132" i="8"/>
  <c r="D234" i="8" s="1"/>
  <c r="C132" i="8"/>
  <c r="C234" i="8" s="1"/>
  <c r="B132" i="8"/>
  <c r="M131" i="8"/>
  <c r="M233" i="8" s="1"/>
  <c r="L131" i="8"/>
  <c r="L233" i="8" s="1"/>
  <c r="K131" i="8"/>
  <c r="K233" i="8" s="1"/>
  <c r="J131" i="8"/>
  <c r="J233" i="8" s="1"/>
  <c r="I131" i="8"/>
  <c r="I233" i="8" s="1"/>
  <c r="H131" i="8"/>
  <c r="H233" i="8" s="1"/>
  <c r="G131" i="8"/>
  <c r="G233" i="8" s="1"/>
  <c r="F131" i="8"/>
  <c r="F233" i="8" s="1"/>
  <c r="E131" i="8"/>
  <c r="D131" i="8"/>
  <c r="D233" i="8" s="1"/>
  <c r="C131" i="8"/>
  <c r="C233" i="8" s="1"/>
  <c r="B131" i="8"/>
  <c r="M130" i="8"/>
  <c r="M232" i="8" s="1"/>
  <c r="L130" i="8"/>
  <c r="L232" i="8" s="1"/>
  <c r="K130" i="8"/>
  <c r="J130" i="8"/>
  <c r="J232" i="8" s="1"/>
  <c r="I130" i="8"/>
  <c r="I232" i="8" s="1"/>
  <c r="H130" i="8"/>
  <c r="H232" i="8" s="1"/>
  <c r="G130" i="8"/>
  <c r="G232" i="8" s="1"/>
  <c r="F130" i="8"/>
  <c r="F232" i="8" s="1"/>
  <c r="E130" i="8"/>
  <c r="E232" i="8" s="1"/>
  <c r="D130" i="8"/>
  <c r="D232" i="8" s="1"/>
  <c r="C130" i="8"/>
  <c r="C232" i="8" s="1"/>
  <c r="B130" i="8"/>
  <c r="M129" i="8"/>
  <c r="M231" i="8" s="1"/>
  <c r="L129" i="8"/>
  <c r="L231" i="8" s="1"/>
  <c r="K129" i="8"/>
  <c r="K231" i="8" s="1"/>
  <c r="J129" i="8"/>
  <c r="J231" i="8" s="1"/>
  <c r="I129" i="8"/>
  <c r="I231" i="8" s="1"/>
  <c r="H129" i="8"/>
  <c r="H231" i="8" s="1"/>
  <c r="G129" i="8"/>
  <c r="G231" i="8" s="1"/>
  <c r="F129" i="8"/>
  <c r="F231" i="8" s="1"/>
  <c r="E129" i="8"/>
  <c r="D129" i="8"/>
  <c r="D231" i="8" s="1"/>
  <c r="C129" i="8"/>
  <c r="C231" i="8" s="1"/>
  <c r="B129" i="8"/>
  <c r="M128" i="8"/>
  <c r="M230" i="8" s="1"/>
  <c r="L128" i="8"/>
  <c r="L230" i="8" s="1"/>
  <c r="K128" i="8"/>
  <c r="J128" i="8"/>
  <c r="J230" i="8" s="1"/>
  <c r="I128" i="8"/>
  <c r="I230" i="8" s="1"/>
  <c r="H128" i="8"/>
  <c r="H230" i="8" s="1"/>
  <c r="G128" i="8"/>
  <c r="G230" i="8" s="1"/>
  <c r="F128" i="8"/>
  <c r="F230" i="8" s="1"/>
  <c r="E128" i="8"/>
  <c r="E230" i="8" s="1"/>
  <c r="D128" i="8"/>
  <c r="D230" i="8" s="1"/>
  <c r="C128" i="8"/>
  <c r="C230" i="8" s="1"/>
  <c r="B128" i="8"/>
  <c r="M127" i="8"/>
  <c r="M229" i="8" s="1"/>
  <c r="L127" i="8"/>
  <c r="L229" i="8" s="1"/>
  <c r="K127" i="8"/>
  <c r="K229" i="8" s="1"/>
  <c r="J127" i="8"/>
  <c r="J229" i="8" s="1"/>
  <c r="I127" i="8"/>
  <c r="I229" i="8" s="1"/>
  <c r="H127" i="8"/>
  <c r="H229" i="8" s="1"/>
  <c r="G127" i="8"/>
  <c r="G229" i="8" s="1"/>
  <c r="F127" i="8"/>
  <c r="F229" i="8" s="1"/>
  <c r="E127" i="8"/>
  <c r="D127" i="8"/>
  <c r="D229" i="8" s="1"/>
  <c r="C127" i="8"/>
  <c r="C229" i="8" s="1"/>
  <c r="B127" i="8"/>
  <c r="M126" i="8"/>
  <c r="M228" i="8" s="1"/>
  <c r="L126" i="8"/>
  <c r="L228" i="8" s="1"/>
  <c r="K126" i="8"/>
  <c r="J126" i="8"/>
  <c r="J228" i="8" s="1"/>
  <c r="I126" i="8"/>
  <c r="I228" i="8" s="1"/>
  <c r="H126" i="8"/>
  <c r="H228" i="8" s="1"/>
  <c r="G126" i="8"/>
  <c r="F126" i="8"/>
  <c r="F228" i="8" s="1"/>
  <c r="E126" i="8"/>
  <c r="E228" i="8" s="1"/>
  <c r="D126" i="8"/>
  <c r="D228" i="8" s="1"/>
  <c r="C126" i="8"/>
  <c r="C228" i="8" s="1"/>
  <c r="B126" i="8"/>
  <c r="M125" i="8"/>
  <c r="M227" i="8" s="1"/>
  <c r="L125" i="8"/>
  <c r="L227" i="8" s="1"/>
  <c r="K125" i="8"/>
  <c r="K227" i="8" s="1"/>
  <c r="J125" i="8"/>
  <c r="J227" i="8" s="1"/>
  <c r="I125" i="8"/>
  <c r="H125" i="8"/>
  <c r="G125" i="8"/>
  <c r="F125" i="8"/>
  <c r="E125" i="8"/>
  <c r="D125" i="8"/>
  <c r="C125" i="8"/>
  <c r="B125" i="8"/>
  <c r="M124" i="8"/>
  <c r="M226" i="8" s="1"/>
  <c r="L124" i="8"/>
  <c r="K124" i="8"/>
  <c r="J124" i="8"/>
  <c r="J226" i="8" s="1"/>
  <c r="I124" i="8"/>
  <c r="H124" i="8"/>
  <c r="H226" i="8" s="1"/>
  <c r="G124" i="8"/>
  <c r="F124" i="8"/>
  <c r="E124" i="8"/>
  <c r="E226" i="8" s="1"/>
  <c r="D124" i="8"/>
  <c r="C124" i="8"/>
  <c r="B124" i="8"/>
  <c r="M123" i="8"/>
  <c r="M225" i="8" s="1"/>
  <c r="L123" i="8"/>
  <c r="K123" i="8"/>
  <c r="K225" i="8" s="1"/>
  <c r="J123" i="8"/>
  <c r="J225" i="8" s="1"/>
  <c r="I123" i="8"/>
  <c r="H123" i="8"/>
  <c r="G123" i="8"/>
  <c r="F123" i="8"/>
  <c r="E123" i="8"/>
  <c r="D123" i="8"/>
  <c r="C123" i="8"/>
  <c r="B123" i="8"/>
  <c r="M122" i="8"/>
  <c r="M224" i="8" s="1"/>
  <c r="L122" i="8"/>
  <c r="K122" i="8"/>
  <c r="J122" i="8"/>
  <c r="J224" i="8" s="1"/>
  <c r="I122" i="8"/>
  <c r="H122" i="8"/>
  <c r="H224" i="8" s="1"/>
  <c r="G122" i="8"/>
  <c r="G224" i="8" s="1"/>
  <c r="F122" i="8"/>
  <c r="E122" i="8"/>
  <c r="D122" i="8"/>
  <c r="C122" i="8"/>
  <c r="B122" i="8"/>
  <c r="M121" i="8"/>
  <c r="M223" i="8" s="1"/>
  <c r="L121" i="8"/>
  <c r="L223" i="8" s="1"/>
  <c r="K121" i="8"/>
  <c r="J121" i="8"/>
  <c r="J223" i="8" s="1"/>
  <c r="I121" i="8"/>
  <c r="H121" i="8"/>
  <c r="H223" i="8" s="1"/>
  <c r="G121" i="8"/>
  <c r="F121" i="8"/>
  <c r="E121" i="8"/>
  <c r="D121" i="8"/>
  <c r="C121" i="8"/>
  <c r="B121" i="8"/>
  <c r="M120" i="8"/>
  <c r="M222" i="8" s="1"/>
  <c r="L120" i="8"/>
  <c r="L222" i="8" s="1"/>
  <c r="K120" i="8"/>
  <c r="J120" i="8"/>
  <c r="J222" i="8" s="1"/>
  <c r="I120" i="8"/>
  <c r="I222" i="8" s="1"/>
  <c r="H120" i="8"/>
  <c r="H222" i="8" s="1"/>
  <c r="G120" i="8"/>
  <c r="F120" i="8"/>
  <c r="E120" i="8"/>
  <c r="D120" i="8"/>
  <c r="C120" i="8"/>
  <c r="C222" i="8" s="1"/>
  <c r="B120" i="8"/>
  <c r="M119" i="8"/>
  <c r="L119" i="8"/>
  <c r="L221" i="8" s="1"/>
  <c r="K119" i="8"/>
  <c r="K221" i="8" s="1"/>
  <c r="J119" i="8"/>
  <c r="I119" i="8"/>
  <c r="I221" i="8" s="1"/>
  <c r="H119" i="8"/>
  <c r="G119" i="8"/>
  <c r="F119" i="8"/>
  <c r="E119" i="8"/>
  <c r="D119" i="8"/>
  <c r="C119" i="8"/>
  <c r="C221" i="8" s="1"/>
  <c r="B119" i="8"/>
  <c r="M118" i="8"/>
  <c r="M220" i="8" s="1"/>
  <c r="I118" i="8"/>
  <c r="H118" i="8"/>
  <c r="G118" i="8"/>
  <c r="G220" i="8" s="1"/>
  <c r="F118" i="8"/>
  <c r="F220" i="8" s="1"/>
  <c r="E118" i="8"/>
  <c r="E220" i="8" s="1"/>
  <c r="D118" i="8"/>
  <c r="D220" i="8" s="1"/>
  <c r="C118" i="8"/>
  <c r="C220" i="8" s="1"/>
  <c r="B118" i="8"/>
  <c r="B220" i="8" s="1"/>
  <c r="M117" i="8"/>
  <c r="M219" i="8" s="1"/>
  <c r="L117" i="8"/>
  <c r="L219" i="8" s="1"/>
  <c r="J117" i="8"/>
  <c r="J219" i="8" s="1"/>
  <c r="I117" i="8"/>
  <c r="H117" i="8"/>
  <c r="G117" i="8"/>
  <c r="F117" i="8"/>
  <c r="F219" i="8" s="1"/>
  <c r="E117" i="8"/>
  <c r="D117" i="8"/>
  <c r="D219" i="8" s="1"/>
  <c r="C117" i="8"/>
  <c r="C219" i="8" s="1"/>
  <c r="B117" i="8"/>
  <c r="M116" i="8"/>
  <c r="M218" i="8" s="1"/>
  <c r="L116" i="8"/>
  <c r="L218" i="8" s="1"/>
  <c r="K116" i="8"/>
  <c r="J116" i="8"/>
  <c r="J218" i="8" s="1"/>
  <c r="H116" i="8"/>
  <c r="H218" i="8" s="1"/>
  <c r="G116" i="8"/>
  <c r="F116" i="8"/>
  <c r="F218" i="8" s="1"/>
  <c r="E116" i="8"/>
  <c r="E218" i="8" s="1"/>
  <c r="D116" i="8"/>
  <c r="D218" i="8" s="1"/>
  <c r="C116" i="8"/>
  <c r="C218" i="8" s="1"/>
  <c r="B116" i="8"/>
  <c r="M115" i="8"/>
  <c r="M217" i="8" s="1"/>
  <c r="L115" i="8"/>
  <c r="L217" i="8" s="1"/>
  <c r="K115" i="8"/>
  <c r="K217" i="8" s="1"/>
  <c r="J115" i="8"/>
  <c r="J217" i="8" s="1"/>
  <c r="I115" i="8"/>
  <c r="I217" i="8" s="1"/>
  <c r="H115" i="8"/>
  <c r="G115" i="8"/>
  <c r="G217" i="8" s="1"/>
  <c r="F115" i="8"/>
  <c r="F217" i="8" s="1"/>
  <c r="E115" i="8"/>
  <c r="D115" i="8"/>
  <c r="D217" i="8" s="1"/>
  <c r="C115" i="8"/>
  <c r="C217" i="8" s="1"/>
  <c r="B115" i="8"/>
  <c r="M114" i="8"/>
  <c r="M216" i="8" s="1"/>
  <c r="L114" i="8"/>
  <c r="L216" i="8" s="1"/>
  <c r="K114" i="8"/>
  <c r="J114" i="8"/>
  <c r="J216" i="8" s="1"/>
  <c r="I114" i="8"/>
  <c r="I216" i="8" s="1"/>
  <c r="H114" i="8"/>
  <c r="H216" i="8" s="1"/>
  <c r="G114" i="8"/>
  <c r="G216" i="8" s="1"/>
  <c r="F114" i="8"/>
  <c r="F216" i="8" s="1"/>
  <c r="E114" i="8"/>
  <c r="E216" i="8" s="1"/>
  <c r="D114" i="8"/>
  <c r="D216" i="8" s="1"/>
  <c r="C114" i="8"/>
  <c r="C216" i="8" s="1"/>
  <c r="B114" i="8"/>
  <c r="B216" i="8" s="1"/>
  <c r="M113" i="8"/>
  <c r="M215" i="8" s="1"/>
  <c r="L113" i="8"/>
  <c r="L215" i="8" s="1"/>
  <c r="K113" i="8"/>
  <c r="K215" i="8" s="1"/>
  <c r="J113" i="8"/>
  <c r="J215" i="8" s="1"/>
  <c r="I113" i="8"/>
  <c r="I215" i="8" s="1"/>
  <c r="H113" i="8"/>
  <c r="G113" i="8"/>
  <c r="G215" i="8" s="1"/>
  <c r="F113" i="8"/>
  <c r="F215" i="8" s="1"/>
  <c r="E113" i="8"/>
  <c r="D113" i="8"/>
  <c r="D215" i="8" s="1"/>
  <c r="C113" i="8"/>
  <c r="C215" i="8" s="1"/>
  <c r="B113" i="8"/>
  <c r="M112" i="8"/>
  <c r="M214" i="8" s="1"/>
  <c r="L112" i="8"/>
  <c r="L214" i="8" s="1"/>
  <c r="K112" i="8"/>
  <c r="J112" i="8"/>
  <c r="J214" i="8" s="1"/>
  <c r="I112" i="8"/>
  <c r="I214" i="8" s="1"/>
  <c r="H112" i="8"/>
  <c r="H214" i="8" s="1"/>
  <c r="G112" i="8"/>
  <c r="G214" i="8" s="1"/>
  <c r="F112" i="8"/>
  <c r="F214" i="8" s="1"/>
  <c r="E112" i="8"/>
  <c r="E214" i="8" s="1"/>
  <c r="D112" i="8"/>
  <c r="D214" i="8" s="1"/>
  <c r="C112" i="8"/>
  <c r="C214" i="8" s="1"/>
  <c r="B112" i="8"/>
  <c r="B214" i="8" s="1"/>
  <c r="M111" i="8"/>
  <c r="M213" i="8" s="1"/>
  <c r="L111" i="8"/>
  <c r="L213" i="8" s="1"/>
  <c r="K111" i="8"/>
  <c r="K213" i="8" s="1"/>
  <c r="J111" i="8"/>
  <c r="J213" i="8" s="1"/>
  <c r="I111" i="8"/>
  <c r="I213" i="8" s="1"/>
  <c r="H111" i="8"/>
  <c r="G111" i="8"/>
  <c r="G213" i="8" s="1"/>
  <c r="F111" i="8"/>
  <c r="F213" i="8" s="1"/>
  <c r="E111" i="8"/>
  <c r="D111" i="8"/>
  <c r="D213" i="8" s="1"/>
  <c r="C111" i="8"/>
  <c r="C213" i="8" s="1"/>
  <c r="B111" i="8"/>
  <c r="M110" i="8"/>
  <c r="M212" i="8" s="1"/>
  <c r="L110" i="8"/>
  <c r="L212" i="8" s="1"/>
  <c r="K110" i="8"/>
  <c r="K212" i="8" s="1"/>
  <c r="J110" i="8"/>
  <c r="J212" i="8" s="1"/>
  <c r="I110" i="8"/>
  <c r="I212" i="8" s="1"/>
  <c r="H110" i="8"/>
  <c r="H212" i="8" s="1"/>
  <c r="G110" i="8"/>
  <c r="G212" i="8" s="1"/>
  <c r="F110" i="8"/>
  <c r="F212" i="8" s="1"/>
  <c r="E110" i="8"/>
  <c r="E212" i="8" s="1"/>
  <c r="D110" i="8"/>
  <c r="D212" i="8" s="1"/>
  <c r="C110" i="8"/>
  <c r="C212" i="8" s="1"/>
  <c r="B110" i="8"/>
  <c r="B212" i="8" s="1"/>
  <c r="M109" i="8"/>
  <c r="M211" i="8" s="1"/>
  <c r="L109" i="8"/>
  <c r="L211" i="8" s="1"/>
  <c r="K109" i="8"/>
  <c r="K211" i="8" s="1"/>
  <c r="J109" i="8"/>
  <c r="J211" i="8" s="1"/>
  <c r="I109" i="8"/>
  <c r="I211" i="8" s="1"/>
  <c r="H109" i="8"/>
  <c r="H211" i="8" s="1"/>
  <c r="G109" i="8"/>
  <c r="G211" i="8" s="1"/>
  <c r="F109" i="8"/>
  <c r="F211" i="8" s="1"/>
  <c r="E109" i="8"/>
  <c r="E211" i="8" s="1"/>
  <c r="D109" i="8"/>
  <c r="D211" i="8" s="1"/>
  <c r="C109" i="8"/>
  <c r="C211" i="8" s="1"/>
  <c r="B109" i="8"/>
  <c r="B211" i="8" s="1"/>
  <c r="T108" i="8"/>
  <c r="T210" i="8" s="1"/>
  <c r="M108" i="8"/>
  <c r="M210" i="8" s="1"/>
  <c r="L108" i="8"/>
  <c r="L210" i="8" s="1"/>
  <c r="K108" i="8"/>
  <c r="K210" i="8" s="1"/>
  <c r="J108" i="8"/>
  <c r="J210" i="8" s="1"/>
  <c r="I108" i="8"/>
  <c r="I210" i="8" s="1"/>
  <c r="H108" i="8"/>
  <c r="H210" i="8" s="1"/>
  <c r="G108" i="8"/>
  <c r="G210" i="8" s="1"/>
  <c r="F108" i="8"/>
  <c r="F210" i="8" s="1"/>
  <c r="E108" i="8"/>
  <c r="E210" i="8" s="1"/>
  <c r="D108" i="8"/>
  <c r="D210" i="8" s="1"/>
  <c r="C108" i="8"/>
  <c r="C210" i="8" s="1"/>
  <c r="B108" i="8"/>
  <c r="B210" i="8" s="1"/>
  <c r="R103" i="8"/>
  <c r="T104" i="8" s="1"/>
  <c r="Q103" i="8"/>
  <c r="P103" i="8"/>
  <c r="O103" i="8"/>
  <c r="R102" i="8"/>
  <c r="Q102" i="8"/>
  <c r="P102" i="8"/>
  <c r="O102" i="8"/>
  <c r="R101" i="8"/>
  <c r="Q101" i="8"/>
  <c r="P101" i="8"/>
  <c r="O101" i="8"/>
  <c r="R100" i="8"/>
  <c r="Q100" i="8"/>
  <c r="P100" i="8"/>
  <c r="O100" i="8"/>
  <c r="R99" i="8"/>
  <c r="Q99" i="8"/>
  <c r="P99" i="8"/>
  <c r="O99" i="8"/>
  <c r="R98" i="8"/>
  <c r="Q98" i="8"/>
  <c r="P98" i="8"/>
  <c r="O98" i="8"/>
  <c r="R97" i="8"/>
  <c r="Q97" i="8"/>
  <c r="P97" i="8"/>
  <c r="O97" i="8"/>
  <c r="R96" i="8"/>
  <c r="Q96" i="8"/>
  <c r="P96" i="8"/>
  <c r="O96" i="8"/>
  <c r="R95" i="8"/>
  <c r="Q95" i="8"/>
  <c r="P95" i="8"/>
  <c r="O95" i="8"/>
  <c r="R94" i="8"/>
  <c r="Q94" i="8"/>
  <c r="P94" i="8"/>
  <c r="O94" i="8"/>
  <c r="R93" i="8"/>
  <c r="Q93" i="8"/>
  <c r="P93" i="8"/>
  <c r="O93" i="8"/>
  <c r="R92" i="8"/>
  <c r="Q92" i="8"/>
  <c r="P92" i="8"/>
  <c r="O92" i="8"/>
  <c r="R91" i="8"/>
  <c r="Q91" i="8"/>
  <c r="P91" i="8"/>
  <c r="O91" i="8"/>
  <c r="R90" i="8"/>
  <c r="Q90" i="8"/>
  <c r="P90" i="8"/>
  <c r="O90" i="8"/>
  <c r="R89" i="8"/>
  <c r="Q89" i="8"/>
  <c r="P89" i="8"/>
  <c r="O89" i="8"/>
  <c r="R88" i="8"/>
  <c r="Q88" i="8"/>
  <c r="P88" i="8"/>
  <c r="O88" i="8"/>
  <c r="R87" i="8"/>
  <c r="Q87" i="8"/>
  <c r="P87" i="8"/>
  <c r="O87" i="8"/>
  <c r="R86" i="8"/>
  <c r="Q86" i="8"/>
  <c r="P86" i="8"/>
  <c r="O86" i="8"/>
  <c r="R85" i="8"/>
  <c r="Q85" i="8"/>
  <c r="P85" i="8"/>
  <c r="O85" i="8"/>
  <c r="R84" i="8"/>
  <c r="Q84" i="8"/>
  <c r="P84" i="8"/>
  <c r="O84" i="8"/>
  <c r="R83" i="8"/>
  <c r="Q83" i="8"/>
  <c r="P83" i="8"/>
  <c r="O83" i="8"/>
  <c r="R82" i="8"/>
  <c r="Q82" i="8"/>
  <c r="P82" i="8"/>
  <c r="O82" i="8"/>
  <c r="R81" i="8"/>
  <c r="Q81" i="8"/>
  <c r="P81" i="8"/>
  <c r="O81" i="8"/>
  <c r="R80" i="8"/>
  <c r="Q80" i="8"/>
  <c r="P80" i="8"/>
  <c r="O80" i="8"/>
  <c r="R79" i="8"/>
  <c r="Q79" i="8"/>
  <c r="P79" i="8"/>
  <c r="O79" i="8"/>
  <c r="R78" i="8"/>
  <c r="Q78" i="8"/>
  <c r="P78" i="8"/>
  <c r="O78" i="8"/>
  <c r="R77" i="8"/>
  <c r="Q77" i="8"/>
  <c r="P77" i="8"/>
  <c r="O77" i="8"/>
  <c r="R76" i="8"/>
  <c r="Q76" i="8"/>
  <c r="P76" i="8"/>
  <c r="O76" i="8"/>
  <c r="R75" i="8"/>
  <c r="Q75" i="8"/>
  <c r="P75" i="8"/>
  <c r="O75" i="8"/>
  <c r="R74" i="8"/>
  <c r="Q74" i="8"/>
  <c r="P74" i="8"/>
  <c r="O74" i="8"/>
  <c r="R69" i="8"/>
  <c r="T70" i="8" s="1"/>
  <c r="Q69" i="8"/>
  <c r="P69" i="8"/>
  <c r="O69" i="8"/>
  <c r="R68" i="8"/>
  <c r="Q68" i="8"/>
  <c r="P68" i="8"/>
  <c r="O68" i="8"/>
  <c r="R67" i="8"/>
  <c r="Q67" i="8"/>
  <c r="P67" i="8"/>
  <c r="O67" i="8"/>
  <c r="R66" i="8"/>
  <c r="Q66" i="8"/>
  <c r="P66" i="8"/>
  <c r="O66" i="8"/>
  <c r="R65" i="8"/>
  <c r="Q65" i="8"/>
  <c r="P65" i="8"/>
  <c r="O65" i="8"/>
  <c r="R64" i="8"/>
  <c r="Q64" i="8"/>
  <c r="P64" i="8"/>
  <c r="O64" i="8"/>
  <c r="R63" i="8"/>
  <c r="Q63" i="8"/>
  <c r="P63" i="8"/>
  <c r="O63" i="8"/>
  <c r="R62" i="8"/>
  <c r="Q62" i="8"/>
  <c r="P62" i="8"/>
  <c r="O62" i="8"/>
  <c r="R61" i="8"/>
  <c r="Q61" i="8"/>
  <c r="P61" i="8"/>
  <c r="O61" i="8"/>
  <c r="R60" i="8"/>
  <c r="Q60" i="8"/>
  <c r="P60" i="8"/>
  <c r="O60" i="8"/>
  <c r="R59" i="8"/>
  <c r="Q59" i="8"/>
  <c r="P59" i="8"/>
  <c r="O59" i="8"/>
  <c r="R58" i="8"/>
  <c r="Q58" i="8"/>
  <c r="P58" i="8"/>
  <c r="O58" i="8"/>
  <c r="R57" i="8"/>
  <c r="Q57" i="8"/>
  <c r="P57" i="8"/>
  <c r="O57" i="8"/>
  <c r="R56" i="8"/>
  <c r="Q56" i="8"/>
  <c r="P56" i="8"/>
  <c r="O56" i="8"/>
  <c r="R55" i="8"/>
  <c r="Q55" i="8"/>
  <c r="P55" i="8"/>
  <c r="O55" i="8"/>
  <c r="R54" i="8"/>
  <c r="Q54" i="8"/>
  <c r="P54" i="8"/>
  <c r="O54" i="8"/>
  <c r="R53" i="8"/>
  <c r="Q53" i="8"/>
  <c r="P53" i="8"/>
  <c r="O53" i="8"/>
  <c r="R52" i="8"/>
  <c r="Q52" i="8"/>
  <c r="P52" i="8"/>
  <c r="O52" i="8"/>
  <c r="R51" i="8"/>
  <c r="Q51" i="8"/>
  <c r="P51" i="8"/>
  <c r="O51" i="8"/>
  <c r="P50" i="8"/>
  <c r="O50" i="8"/>
  <c r="L50" i="8"/>
  <c r="K50" i="8"/>
  <c r="J50" i="8"/>
  <c r="Q49" i="8"/>
  <c r="P49" i="8"/>
  <c r="O49" i="8"/>
  <c r="K49" i="8"/>
  <c r="R48" i="8"/>
  <c r="P48" i="8"/>
  <c r="O48" i="8"/>
  <c r="I48" i="8"/>
  <c r="R47" i="8"/>
  <c r="Q47" i="8"/>
  <c r="P47" i="8"/>
  <c r="O47" i="8"/>
  <c r="R46" i="8"/>
  <c r="Q46" i="8"/>
  <c r="P46" i="8"/>
  <c r="O46" i="8"/>
  <c r="R45" i="8"/>
  <c r="Q45" i="8"/>
  <c r="P45" i="8"/>
  <c r="O45" i="8"/>
  <c r="R44" i="8"/>
  <c r="Q44" i="8"/>
  <c r="P44" i="8"/>
  <c r="O44" i="8"/>
  <c r="R43" i="8"/>
  <c r="Q43" i="8"/>
  <c r="P43" i="8"/>
  <c r="O43" i="8"/>
  <c r="R42" i="8"/>
  <c r="Q42" i="8"/>
  <c r="P42" i="8"/>
  <c r="O42" i="8"/>
  <c r="R41" i="8"/>
  <c r="Q41" i="8"/>
  <c r="P41" i="8"/>
  <c r="O41" i="8"/>
  <c r="R40" i="8"/>
  <c r="Q40" i="8"/>
  <c r="P40" i="8"/>
  <c r="O40" i="8"/>
  <c r="R35" i="8"/>
  <c r="T36" i="8" s="1"/>
  <c r="Q35" i="8"/>
  <c r="P35" i="8"/>
  <c r="O35" i="8"/>
  <c r="R34" i="8"/>
  <c r="Q34" i="8"/>
  <c r="P34" i="8"/>
  <c r="O34" i="8"/>
  <c r="R33" i="8"/>
  <c r="Q33" i="8"/>
  <c r="P33" i="8"/>
  <c r="O33" i="8"/>
  <c r="R32" i="8"/>
  <c r="Q32" i="8"/>
  <c r="P32" i="8"/>
  <c r="O32" i="8"/>
  <c r="R31" i="8"/>
  <c r="Q31" i="8"/>
  <c r="P31" i="8"/>
  <c r="O31" i="8"/>
  <c r="R30" i="8"/>
  <c r="Q30" i="8"/>
  <c r="P30" i="8"/>
  <c r="O30" i="8"/>
  <c r="R29" i="8"/>
  <c r="Q29" i="8"/>
  <c r="P29" i="8"/>
  <c r="O29" i="8"/>
  <c r="R28" i="8"/>
  <c r="Q28" i="8"/>
  <c r="P28" i="8"/>
  <c r="O28" i="8"/>
  <c r="R27" i="8"/>
  <c r="Q27" i="8"/>
  <c r="P27" i="8"/>
  <c r="O27" i="8"/>
  <c r="R26" i="8"/>
  <c r="Q26" i="8"/>
  <c r="P26" i="8"/>
  <c r="O26" i="8"/>
  <c r="R25" i="8"/>
  <c r="Q25" i="8"/>
  <c r="P25" i="8"/>
  <c r="O25" i="8"/>
  <c r="R24" i="8"/>
  <c r="Q24" i="8"/>
  <c r="P24" i="8"/>
  <c r="O24" i="8"/>
  <c r="R23" i="8"/>
  <c r="Q23" i="8"/>
  <c r="P23" i="8"/>
  <c r="O23" i="8"/>
  <c r="R22" i="8"/>
  <c r="Q22" i="8"/>
  <c r="P22" i="8"/>
  <c r="O22" i="8"/>
  <c r="R21" i="8"/>
  <c r="Q21" i="8"/>
  <c r="P21" i="8"/>
  <c r="O21" i="8"/>
  <c r="R20" i="8"/>
  <c r="Q20" i="8"/>
  <c r="P20" i="8"/>
  <c r="O20" i="8"/>
  <c r="R19" i="8"/>
  <c r="Q19" i="8"/>
  <c r="P19" i="8"/>
  <c r="O19" i="8"/>
  <c r="R18" i="8"/>
  <c r="Q18" i="8"/>
  <c r="P18" i="8"/>
  <c r="O18" i="8"/>
  <c r="R17" i="8"/>
  <c r="Q17" i="8"/>
  <c r="P17" i="8"/>
  <c r="O17" i="8"/>
  <c r="R16" i="8"/>
  <c r="Q16" i="8"/>
  <c r="P16" i="8"/>
  <c r="O16" i="8"/>
  <c r="R15" i="8"/>
  <c r="Q15" i="8"/>
  <c r="P15" i="8"/>
  <c r="O15" i="8"/>
  <c r="R14" i="8"/>
  <c r="Q14" i="8"/>
  <c r="P14" i="8"/>
  <c r="O14" i="8"/>
  <c r="R13" i="8"/>
  <c r="Q13" i="8"/>
  <c r="P13" i="8"/>
  <c r="O13" i="8"/>
  <c r="R12" i="8"/>
  <c r="Q12" i="8"/>
  <c r="P12" i="8"/>
  <c r="O12" i="8"/>
  <c r="R11" i="8"/>
  <c r="Q11" i="8"/>
  <c r="P11" i="8"/>
  <c r="O11" i="8"/>
  <c r="R10" i="8"/>
  <c r="Q10" i="8"/>
  <c r="P10" i="8"/>
  <c r="O10" i="8"/>
  <c r="R9" i="8"/>
  <c r="Q9" i="8"/>
  <c r="P9" i="8"/>
  <c r="O9" i="8"/>
  <c r="R8" i="8"/>
  <c r="Q8" i="8"/>
  <c r="P8" i="8"/>
  <c r="O8" i="8"/>
  <c r="R7" i="8"/>
  <c r="Q7" i="8"/>
  <c r="P7" i="8"/>
  <c r="O7" i="8"/>
  <c r="R6" i="8"/>
  <c r="Q6" i="8"/>
  <c r="P6" i="8"/>
  <c r="O6" i="8"/>
  <c r="U219" i="9"/>
  <c r="R214" i="9"/>
  <c r="U215" i="9" s="1"/>
  <c r="B59" i="11" s="1"/>
  <c r="Q214" i="9"/>
  <c r="P214" i="9"/>
  <c r="O214" i="9"/>
  <c r="Q213" i="9"/>
  <c r="P213" i="9"/>
  <c r="O213" i="9"/>
  <c r="R212" i="9"/>
  <c r="Q212" i="9"/>
  <c r="P212" i="9"/>
  <c r="O212" i="9"/>
  <c r="R211" i="9"/>
  <c r="Q211" i="9"/>
  <c r="P211" i="9"/>
  <c r="O211" i="9"/>
  <c r="R210" i="9"/>
  <c r="Q210" i="9"/>
  <c r="P210" i="9"/>
  <c r="O210" i="9"/>
  <c r="R209" i="9"/>
  <c r="Q209" i="9"/>
  <c r="P209" i="9"/>
  <c r="O209" i="9"/>
  <c r="R208" i="9"/>
  <c r="Q208" i="9"/>
  <c r="P208" i="9"/>
  <c r="O208" i="9"/>
  <c r="R207" i="9"/>
  <c r="Q207" i="9"/>
  <c r="P207" i="9"/>
  <c r="O207" i="9"/>
  <c r="R206" i="9"/>
  <c r="Q206" i="9"/>
  <c r="P206" i="9"/>
  <c r="O206" i="9"/>
  <c r="R205" i="9"/>
  <c r="Q205" i="9"/>
  <c r="P205" i="9"/>
  <c r="O205" i="9"/>
  <c r="R204" i="9"/>
  <c r="Q204" i="9"/>
  <c r="P204" i="9"/>
  <c r="O204" i="9"/>
  <c r="R203" i="9"/>
  <c r="Q203" i="9"/>
  <c r="P203" i="9"/>
  <c r="O203" i="9"/>
  <c r="R202" i="9"/>
  <c r="Q202" i="9"/>
  <c r="P202" i="9"/>
  <c r="O202" i="9"/>
  <c r="R201" i="9"/>
  <c r="Q201" i="9"/>
  <c r="P201" i="9"/>
  <c r="O201" i="9"/>
  <c r="R200" i="9"/>
  <c r="Q200" i="9"/>
  <c r="P200" i="9"/>
  <c r="R199" i="9"/>
  <c r="Q199" i="9"/>
  <c r="P199" i="9"/>
  <c r="O199" i="9"/>
  <c r="R198" i="9"/>
  <c r="Q198" i="9"/>
  <c r="P198" i="9"/>
  <c r="O198" i="9"/>
  <c r="R197" i="9"/>
  <c r="Q197" i="9"/>
  <c r="P197" i="9"/>
  <c r="O197" i="9"/>
  <c r="R196" i="9"/>
  <c r="Q196" i="9"/>
  <c r="P196" i="9"/>
  <c r="O196" i="9"/>
  <c r="R195" i="9"/>
  <c r="Q195" i="9"/>
  <c r="P195" i="9"/>
  <c r="O195" i="9"/>
  <c r="R194" i="9"/>
  <c r="Q194" i="9"/>
  <c r="P194" i="9"/>
  <c r="O194" i="9"/>
  <c r="Q193" i="9"/>
  <c r="P193" i="9"/>
  <c r="O193" i="9"/>
  <c r="R192" i="9"/>
  <c r="Q192" i="9"/>
  <c r="P192" i="9"/>
  <c r="O192" i="9"/>
  <c r="R191" i="9"/>
  <c r="Q191" i="9"/>
  <c r="P191" i="9"/>
  <c r="O191" i="9"/>
  <c r="R190" i="9"/>
  <c r="Q190" i="9"/>
  <c r="P190" i="9"/>
  <c r="O190" i="9"/>
  <c r="R189" i="9"/>
  <c r="Q189" i="9"/>
  <c r="P189" i="9"/>
  <c r="O189" i="9"/>
  <c r="R188" i="9"/>
  <c r="Q188" i="9"/>
  <c r="P188" i="9"/>
  <c r="O188" i="9"/>
  <c r="R187" i="9"/>
  <c r="Q187" i="9"/>
  <c r="P187" i="9"/>
  <c r="O187" i="9"/>
  <c r="R186" i="9"/>
  <c r="Q186" i="9"/>
  <c r="P186" i="9"/>
  <c r="O186" i="9"/>
  <c r="R185" i="9"/>
  <c r="Q185" i="9"/>
  <c r="P185" i="9"/>
  <c r="O185" i="9"/>
  <c r="M248" i="9"/>
  <c r="L248" i="9"/>
  <c r="J248" i="9"/>
  <c r="I248" i="9"/>
  <c r="G248" i="9"/>
  <c r="F248" i="9"/>
  <c r="E248" i="9"/>
  <c r="D248" i="9"/>
  <c r="C248" i="9"/>
  <c r="B248" i="9"/>
  <c r="M247" i="9"/>
  <c r="L247" i="9"/>
  <c r="K247" i="9"/>
  <c r="J247" i="9"/>
  <c r="I247" i="9"/>
  <c r="H247" i="9"/>
  <c r="G247" i="9"/>
  <c r="F247" i="9"/>
  <c r="E247" i="9"/>
  <c r="D247" i="9"/>
  <c r="C247" i="9"/>
  <c r="B247" i="9"/>
  <c r="M246" i="9"/>
  <c r="L246" i="9"/>
  <c r="J246" i="9"/>
  <c r="I246" i="9"/>
  <c r="G246" i="9"/>
  <c r="F246" i="9"/>
  <c r="E246" i="9"/>
  <c r="D246" i="9"/>
  <c r="C246" i="9"/>
  <c r="B246" i="9"/>
  <c r="M245" i="9"/>
  <c r="L245" i="9"/>
  <c r="K245" i="9"/>
  <c r="J245" i="9"/>
  <c r="I245" i="9"/>
  <c r="H245" i="9"/>
  <c r="G245" i="9"/>
  <c r="F245" i="9"/>
  <c r="E245" i="9"/>
  <c r="D245" i="9"/>
  <c r="C245" i="9"/>
  <c r="M244" i="9"/>
  <c r="L244" i="9"/>
  <c r="J244" i="9"/>
  <c r="I244" i="9"/>
  <c r="G244" i="9"/>
  <c r="F244" i="9"/>
  <c r="E244" i="9"/>
  <c r="D244" i="9"/>
  <c r="C244" i="9"/>
  <c r="B244" i="9"/>
  <c r="M243" i="9"/>
  <c r="L243" i="9"/>
  <c r="K243" i="9"/>
  <c r="J243" i="9"/>
  <c r="I243" i="9"/>
  <c r="H243" i="9"/>
  <c r="G243" i="9"/>
  <c r="F243" i="9"/>
  <c r="E243" i="9"/>
  <c r="D243" i="9"/>
  <c r="C243" i="9"/>
  <c r="M242" i="9"/>
  <c r="L242" i="9"/>
  <c r="J242" i="9"/>
  <c r="I242" i="9"/>
  <c r="G242" i="9"/>
  <c r="F242" i="9"/>
  <c r="E242" i="9"/>
  <c r="D242" i="9"/>
  <c r="C242" i="9"/>
  <c r="B242" i="9"/>
  <c r="M241" i="9"/>
  <c r="L241" i="9"/>
  <c r="K241" i="9"/>
  <c r="J241" i="9"/>
  <c r="I241" i="9"/>
  <c r="H241" i="9"/>
  <c r="G241" i="9"/>
  <c r="F241" i="9"/>
  <c r="E241" i="9"/>
  <c r="D241" i="9"/>
  <c r="C241" i="9"/>
  <c r="B241" i="9"/>
  <c r="M240" i="9"/>
  <c r="L240" i="9"/>
  <c r="J240" i="9"/>
  <c r="I240" i="9"/>
  <c r="G240" i="9"/>
  <c r="F240" i="9"/>
  <c r="E240" i="9"/>
  <c r="D240" i="9"/>
  <c r="C240" i="9"/>
  <c r="B240" i="9"/>
  <c r="M239" i="9"/>
  <c r="L239" i="9"/>
  <c r="K239" i="9"/>
  <c r="J239" i="9"/>
  <c r="I239" i="9"/>
  <c r="H239" i="9"/>
  <c r="G239" i="9"/>
  <c r="F239" i="9"/>
  <c r="E239" i="9"/>
  <c r="D239" i="9"/>
  <c r="C239" i="9"/>
  <c r="B239" i="9"/>
  <c r="M238" i="9"/>
  <c r="L238" i="9"/>
  <c r="J238" i="9"/>
  <c r="I238" i="9"/>
  <c r="G238" i="9"/>
  <c r="F238" i="9"/>
  <c r="E238" i="9"/>
  <c r="D238" i="9"/>
  <c r="C238" i="9"/>
  <c r="B238" i="9"/>
  <c r="M237" i="9"/>
  <c r="L237" i="9"/>
  <c r="K237" i="9"/>
  <c r="I237" i="9"/>
  <c r="H237" i="9"/>
  <c r="G237" i="9"/>
  <c r="F237" i="9"/>
  <c r="E237" i="9"/>
  <c r="D237" i="9"/>
  <c r="C237" i="9"/>
  <c r="B237" i="9"/>
  <c r="M236" i="9"/>
  <c r="L236" i="9"/>
  <c r="J236" i="9"/>
  <c r="I236" i="9"/>
  <c r="H236" i="9"/>
  <c r="G236" i="9"/>
  <c r="F236" i="9"/>
  <c r="E236" i="9"/>
  <c r="D236" i="9"/>
  <c r="C236" i="9"/>
  <c r="B236" i="9"/>
  <c r="M235" i="9"/>
  <c r="L235" i="9"/>
  <c r="K235" i="9"/>
  <c r="J235" i="9"/>
  <c r="I235" i="9"/>
  <c r="H235" i="9"/>
  <c r="G235" i="9"/>
  <c r="F235" i="9"/>
  <c r="E235" i="9"/>
  <c r="D235" i="9"/>
  <c r="C235" i="9"/>
  <c r="M234" i="9"/>
  <c r="L234" i="9"/>
  <c r="R166" i="9"/>
  <c r="J234" i="9"/>
  <c r="I234" i="9"/>
  <c r="G234" i="9"/>
  <c r="F234" i="9"/>
  <c r="E234" i="9"/>
  <c r="D234" i="9"/>
  <c r="C234" i="9"/>
  <c r="B234" i="9"/>
  <c r="M233" i="9"/>
  <c r="L233" i="9"/>
  <c r="K233" i="9"/>
  <c r="J233" i="9"/>
  <c r="I233" i="9"/>
  <c r="H233" i="9"/>
  <c r="G233" i="9"/>
  <c r="F233" i="9"/>
  <c r="E233" i="9"/>
  <c r="D233" i="9"/>
  <c r="C233" i="9"/>
  <c r="B233" i="9"/>
  <c r="M232" i="9"/>
  <c r="L232" i="9"/>
  <c r="R164" i="9"/>
  <c r="J232" i="9"/>
  <c r="I232" i="9"/>
  <c r="G232" i="9"/>
  <c r="F232" i="9"/>
  <c r="E232" i="9"/>
  <c r="D232" i="9"/>
  <c r="C232" i="9"/>
  <c r="B232" i="9"/>
  <c r="M231" i="9"/>
  <c r="L231" i="9"/>
  <c r="K231" i="9"/>
  <c r="J231" i="9"/>
  <c r="I231" i="9"/>
  <c r="H231" i="9"/>
  <c r="G231" i="9"/>
  <c r="F231" i="9"/>
  <c r="E231" i="9"/>
  <c r="D231" i="9"/>
  <c r="C231" i="9"/>
  <c r="B231" i="9"/>
  <c r="M230" i="9"/>
  <c r="L230" i="9"/>
  <c r="R162" i="9"/>
  <c r="J230" i="9"/>
  <c r="I230" i="9"/>
  <c r="G230" i="9"/>
  <c r="F230" i="9"/>
  <c r="E230" i="9"/>
  <c r="D230" i="9"/>
  <c r="C230" i="9"/>
  <c r="B230" i="9"/>
  <c r="M229" i="9"/>
  <c r="L229" i="9"/>
  <c r="K229" i="9"/>
  <c r="J229" i="9"/>
  <c r="I229" i="9"/>
  <c r="H229" i="9"/>
  <c r="G229" i="9"/>
  <c r="F229" i="9"/>
  <c r="E229" i="9"/>
  <c r="D229" i="9"/>
  <c r="C229" i="9"/>
  <c r="B229" i="9"/>
  <c r="J228" i="9"/>
  <c r="I228" i="9"/>
  <c r="Q160" i="9"/>
  <c r="G228" i="9"/>
  <c r="F228" i="9"/>
  <c r="E228" i="9"/>
  <c r="D228" i="9"/>
  <c r="C228" i="9"/>
  <c r="B228" i="9"/>
  <c r="M227" i="9"/>
  <c r="L227" i="9"/>
  <c r="K227" i="9"/>
  <c r="J227" i="9"/>
  <c r="I227" i="9"/>
  <c r="H227" i="9"/>
  <c r="G227" i="9"/>
  <c r="F227" i="9"/>
  <c r="E227" i="9"/>
  <c r="D227" i="9"/>
  <c r="C227" i="9"/>
  <c r="M226" i="9"/>
  <c r="L226" i="9"/>
  <c r="J226" i="9"/>
  <c r="I226" i="9"/>
  <c r="G226" i="9"/>
  <c r="F226" i="9"/>
  <c r="E226" i="9"/>
  <c r="D226" i="9"/>
  <c r="B226" i="9"/>
  <c r="M225" i="9"/>
  <c r="L225" i="9"/>
  <c r="K225" i="9"/>
  <c r="J225" i="9"/>
  <c r="I225" i="9"/>
  <c r="H225" i="9"/>
  <c r="G225" i="9"/>
  <c r="F225" i="9"/>
  <c r="E225" i="9"/>
  <c r="D225" i="9"/>
  <c r="C225" i="9"/>
  <c r="B225" i="9"/>
  <c r="M224" i="9"/>
  <c r="L224" i="9"/>
  <c r="J224" i="9"/>
  <c r="I224" i="9"/>
  <c r="G224" i="9"/>
  <c r="F224" i="9"/>
  <c r="E224" i="9"/>
  <c r="D224" i="9"/>
  <c r="C224" i="9"/>
  <c r="B224" i="9"/>
  <c r="M223" i="9"/>
  <c r="L223" i="9"/>
  <c r="K223" i="9"/>
  <c r="J223" i="9"/>
  <c r="I223" i="9"/>
  <c r="H223" i="9"/>
  <c r="G223" i="9"/>
  <c r="F223" i="9"/>
  <c r="E223" i="9"/>
  <c r="D223" i="9"/>
  <c r="C223" i="9"/>
  <c r="B223" i="9"/>
  <c r="M222" i="9"/>
  <c r="L222" i="9"/>
  <c r="J222" i="9"/>
  <c r="I222" i="9"/>
  <c r="G222" i="9"/>
  <c r="F222" i="9"/>
  <c r="E222" i="9"/>
  <c r="D222" i="9"/>
  <c r="C222" i="9"/>
  <c r="B222" i="9"/>
  <c r="M221" i="9"/>
  <c r="L221" i="9"/>
  <c r="K221" i="9"/>
  <c r="J221" i="9"/>
  <c r="I221" i="9"/>
  <c r="H221" i="9"/>
  <c r="G221" i="9"/>
  <c r="F221" i="9"/>
  <c r="E221" i="9"/>
  <c r="D221" i="9"/>
  <c r="C221" i="9"/>
  <c r="M220" i="9"/>
  <c r="L220" i="9"/>
  <c r="J220" i="9"/>
  <c r="I220" i="9"/>
  <c r="G220" i="9"/>
  <c r="F220" i="9"/>
  <c r="E220" i="9"/>
  <c r="D220" i="9"/>
  <c r="C220" i="9"/>
  <c r="B220" i="9"/>
  <c r="M219" i="9"/>
  <c r="L219" i="9"/>
  <c r="K219" i="9"/>
  <c r="J219" i="9"/>
  <c r="I219" i="9"/>
  <c r="H219" i="9"/>
  <c r="G219" i="9"/>
  <c r="F219" i="9"/>
  <c r="E219" i="9"/>
  <c r="D219" i="9"/>
  <c r="C219" i="9"/>
  <c r="Q149" i="9"/>
  <c r="P149" i="9"/>
  <c r="O149" i="9"/>
  <c r="Q148" i="9"/>
  <c r="P148" i="9"/>
  <c r="O148" i="9"/>
  <c r="Q147" i="9"/>
  <c r="P147" i="9"/>
  <c r="O147" i="9"/>
  <c r="R146" i="9"/>
  <c r="Q146" i="9"/>
  <c r="P146" i="9"/>
  <c r="O146" i="9"/>
  <c r="R145" i="9"/>
  <c r="Q145" i="9"/>
  <c r="P145" i="9"/>
  <c r="O145" i="9"/>
  <c r="R144" i="9"/>
  <c r="Q144" i="9"/>
  <c r="P144" i="9"/>
  <c r="O144" i="9"/>
  <c r="R143" i="9"/>
  <c r="Q143" i="9"/>
  <c r="P143" i="9"/>
  <c r="O143" i="9"/>
  <c r="R142" i="9"/>
  <c r="Q142" i="9"/>
  <c r="P142" i="9"/>
  <c r="O142" i="9"/>
  <c r="R141" i="9"/>
  <c r="Q141" i="9"/>
  <c r="P141" i="9"/>
  <c r="O141" i="9"/>
  <c r="R140" i="9"/>
  <c r="Q140" i="9"/>
  <c r="P140" i="9"/>
  <c r="O140" i="9"/>
  <c r="R139" i="9"/>
  <c r="Q139" i="9"/>
  <c r="P139" i="9"/>
  <c r="O139" i="9"/>
  <c r="R138" i="9"/>
  <c r="Q138" i="9"/>
  <c r="P138" i="9"/>
  <c r="O138" i="9"/>
  <c r="R137" i="9"/>
  <c r="Q137" i="9"/>
  <c r="P137" i="9"/>
  <c r="O137" i="9"/>
  <c r="R136" i="9"/>
  <c r="Q136" i="9"/>
  <c r="P136" i="9"/>
  <c r="O136" i="9"/>
  <c r="R135" i="9"/>
  <c r="Q135" i="9"/>
  <c r="P135" i="9"/>
  <c r="O135" i="9"/>
  <c r="S133" i="9"/>
  <c r="R133" i="9"/>
  <c r="Q133" i="9"/>
  <c r="P133" i="9"/>
  <c r="O133" i="9"/>
  <c r="S132" i="9"/>
  <c r="R132" i="9"/>
  <c r="Q132" i="9"/>
  <c r="P132" i="9"/>
  <c r="O132" i="9"/>
  <c r="S131" i="9"/>
  <c r="R131" i="9"/>
  <c r="Q131" i="9"/>
  <c r="P131" i="9"/>
  <c r="O131" i="9"/>
  <c r="S130" i="9"/>
  <c r="R130" i="9"/>
  <c r="Q130" i="9"/>
  <c r="P130" i="9"/>
  <c r="O130" i="9"/>
  <c r="S129" i="9"/>
  <c r="R129" i="9"/>
  <c r="Q129" i="9"/>
  <c r="P129" i="9"/>
  <c r="O129" i="9"/>
  <c r="S128" i="9"/>
  <c r="R128" i="9"/>
  <c r="Q128" i="9"/>
  <c r="P128" i="9"/>
  <c r="O128" i="9"/>
  <c r="S127" i="9"/>
  <c r="R127" i="9"/>
  <c r="Q127" i="9"/>
  <c r="P127" i="9"/>
  <c r="O127" i="9"/>
  <c r="S126" i="9"/>
  <c r="R126" i="9"/>
  <c r="Q126" i="9"/>
  <c r="P126" i="9"/>
  <c r="O126" i="9"/>
  <c r="S125" i="9"/>
  <c r="R125" i="9"/>
  <c r="Q125" i="9"/>
  <c r="P125" i="9"/>
  <c r="O125" i="9"/>
  <c r="S124" i="9"/>
  <c r="R124" i="9"/>
  <c r="Q124" i="9"/>
  <c r="P124" i="9"/>
  <c r="O124" i="9"/>
  <c r="S123" i="9"/>
  <c r="R123" i="9"/>
  <c r="Q123" i="9"/>
  <c r="P123" i="9"/>
  <c r="O123" i="9"/>
  <c r="S122" i="9"/>
  <c r="R122" i="9"/>
  <c r="Q122" i="9"/>
  <c r="P122" i="9"/>
  <c r="O122" i="9"/>
  <c r="S121" i="9"/>
  <c r="R121" i="9"/>
  <c r="Q121" i="9"/>
  <c r="P121" i="9"/>
  <c r="O121" i="9"/>
  <c r="S120" i="9"/>
  <c r="R120" i="9"/>
  <c r="Q120" i="9"/>
  <c r="P120" i="9"/>
  <c r="O120" i="9"/>
  <c r="S119" i="9"/>
  <c r="R119" i="9"/>
  <c r="Q119" i="9"/>
  <c r="P119" i="9"/>
  <c r="O119" i="9"/>
  <c r="S118" i="9"/>
  <c r="R118" i="9"/>
  <c r="Q118" i="9"/>
  <c r="P118" i="9"/>
  <c r="O118" i="9"/>
  <c r="S117" i="9"/>
  <c r="R117" i="9"/>
  <c r="Q117" i="9"/>
  <c r="P117" i="9"/>
  <c r="O117" i="9"/>
  <c r="S116" i="9"/>
  <c r="R116" i="9"/>
  <c r="Q116" i="9"/>
  <c r="P116" i="9"/>
  <c r="O116" i="9"/>
  <c r="S115" i="9"/>
  <c r="R115" i="9"/>
  <c r="Q115" i="9"/>
  <c r="P115" i="9"/>
  <c r="O115" i="9"/>
  <c r="S114" i="9"/>
  <c r="R114" i="9"/>
  <c r="Q114" i="9"/>
  <c r="P114" i="9"/>
  <c r="O114" i="9"/>
  <c r="S113" i="9"/>
  <c r="R113" i="9"/>
  <c r="Q113" i="9"/>
  <c r="P113" i="9"/>
  <c r="O113" i="9"/>
  <c r="S112" i="9"/>
  <c r="R112" i="9"/>
  <c r="Q112" i="9"/>
  <c r="P112" i="9"/>
  <c r="O112" i="9"/>
  <c r="S111" i="9"/>
  <c r="R111" i="9"/>
  <c r="Q111" i="9"/>
  <c r="P111" i="9"/>
  <c r="O111" i="9"/>
  <c r="S110" i="9"/>
  <c r="R110" i="9"/>
  <c r="Q110" i="9"/>
  <c r="P110" i="9"/>
  <c r="O110" i="9"/>
  <c r="S109" i="9"/>
  <c r="R109" i="9"/>
  <c r="Q109" i="9"/>
  <c r="P109" i="9"/>
  <c r="O109" i="9"/>
  <c r="S108" i="9"/>
  <c r="R108" i="9"/>
  <c r="Q108" i="9"/>
  <c r="P108" i="9"/>
  <c r="O108" i="9"/>
  <c r="S103" i="9"/>
  <c r="R103" i="9"/>
  <c r="U104" i="9" s="1"/>
  <c r="Q103" i="9"/>
  <c r="P103" i="9"/>
  <c r="O103" i="9"/>
  <c r="S102" i="9"/>
  <c r="R102" i="9"/>
  <c r="Q102" i="9"/>
  <c r="P102" i="9"/>
  <c r="O102" i="9"/>
  <c r="S101" i="9"/>
  <c r="R101" i="9"/>
  <c r="Q101" i="9"/>
  <c r="P101" i="9"/>
  <c r="O101" i="9"/>
  <c r="S100" i="9"/>
  <c r="R100" i="9"/>
  <c r="Q100" i="9"/>
  <c r="P100" i="9"/>
  <c r="O100" i="9"/>
  <c r="S99" i="9"/>
  <c r="R99" i="9"/>
  <c r="Q99" i="9"/>
  <c r="P99" i="9"/>
  <c r="O99" i="9"/>
  <c r="S98" i="9"/>
  <c r="R98" i="9"/>
  <c r="Q98" i="9"/>
  <c r="P98" i="9"/>
  <c r="O98" i="9"/>
  <c r="S97" i="9"/>
  <c r="R97" i="9"/>
  <c r="Q97" i="9"/>
  <c r="P97" i="9"/>
  <c r="O97" i="9"/>
  <c r="S96" i="9"/>
  <c r="R96" i="9"/>
  <c r="Q96" i="9"/>
  <c r="P96" i="9"/>
  <c r="O96" i="9"/>
  <c r="S95" i="9"/>
  <c r="R95" i="9"/>
  <c r="Q95" i="9"/>
  <c r="P95" i="9"/>
  <c r="O95" i="9"/>
  <c r="S94" i="9"/>
  <c r="R94" i="9"/>
  <c r="Q94" i="9"/>
  <c r="P94" i="9"/>
  <c r="O94" i="9"/>
  <c r="S93" i="9"/>
  <c r="R93" i="9"/>
  <c r="Q93" i="9"/>
  <c r="P93" i="9"/>
  <c r="O93" i="9"/>
  <c r="S92" i="9"/>
  <c r="R92" i="9"/>
  <c r="Q92" i="9"/>
  <c r="P92" i="9"/>
  <c r="O92" i="9"/>
  <c r="S91" i="9"/>
  <c r="R91" i="9"/>
  <c r="Q91" i="9"/>
  <c r="P91" i="9"/>
  <c r="O91" i="9"/>
  <c r="S90" i="9"/>
  <c r="R90" i="9"/>
  <c r="Q90" i="9"/>
  <c r="P90" i="9"/>
  <c r="O90" i="9"/>
  <c r="S89" i="9"/>
  <c r="R89" i="9"/>
  <c r="Q89" i="9"/>
  <c r="P89" i="9"/>
  <c r="O89" i="9"/>
  <c r="S88" i="9"/>
  <c r="R88" i="9"/>
  <c r="Q88" i="9"/>
  <c r="P88" i="9"/>
  <c r="O88" i="9"/>
  <c r="S87" i="9"/>
  <c r="R87" i="9"/>
  <c r="Q87" i="9"/>
  <c r="P87" i="9"/>
  <c r="O87" i="9"/>
  <c r="S86" i="9"/>
  <c r="R86" i="9"/>
  <c r="Q86" i="9"/>
  <c r="P86" i="9"/>
  <c r="O86" i="9"/>
  <c r="S85" i="9"/>
  <c r="R85" i="9"/>
  <c r="Q85" i="9"/>
  <c r="P85" i="9"/>
  <c r="O85" i="9"/>
  <c r="S84" i="9"/>
  <c r="R84" i="9"/>
  <c r="Q84" i="9"/>
  <c r="P84" i="9"/>
  <c r="O84" i="9"/>
  <c r="S83" i="9"/>
  <c r="R83" i="9"/>
  <c r="Q83" i="9"/>
  <c r="P83" i="9"/>
  <c r="O83" i="9"/>
  <c r="S82" i="9"/>
  <c r="R82" i="9"/>
  <c r="Q82" i="9"/>
  <c r="P82" i="9"/>
  <c r="O82" i="9"/>
  <c r="S81" i="9"/>
  <c r="R81" i="9"/>
  <c r="Q81" i="9"/>
  <c r="P81" i="9"/>
  <c r="O81" i="9"/>
  <c r="S80" i="9"/>
  <c r="R80" i="9"/>
  <c r="Q80" i="9"/>
  <c r="O80" i="9"/>
  <c r="S79" i="9"/>
  <c r="R79" i="9"/>
  <c r="Q79" i="9"/>
  <c r="P79" i="9"/>
  <c r="O79" i="9"/>
  <c r="S78" i="9"/>
  <c r="R78" i="9"/>
  <c r="Q78" i="9"/>
  <c r="P78" i="9"/>
  <c r="O78" i="9"/>
  <c r="S77" i="9"/>
  <c r="R77" i="9"/>
  <c r="Q77" i="9"/>
  <c r="P77" i="9"/>
  <c r="O77" i="9"/>
  <c r="S76" i="9"/>
  <c r="R76" i="9"/>
  <c r="Q76" i="9"/>
  <c r="P76" i="9"/>
  <c r="O76" i="9"/>
  <c r="S75" i="9"/>
  <c r="R75" i="9"/>
  <c r="Q75" i="9"/>
  <c r="P75" i="9"/>
  <c r="O75" i="9"/>
  <c r="S74" i="9"/>
  <c r="R74" i="9"/>
  <c r="Q74" i="9"/>
  <c r="P74" i="9"/>
  <c r="O74" i="9"/>
  <c r="S69" i="9"/>
  <c r="R69" i="9"/>
  <c r="U70" i="9" s="1"/>
  <c r="Q69" i="9"/>
  <c r="P69" i="9"/>
  <c r="O69" i="9"/>
  <c r="S68" i="9"/>
  <c r="R68" i="9"/>
  <c r="Q68" i="9"/>
  <c r="P68" i="9"/>
  <c r="O68" i="9"/>
  <c r="S67" i="9"/>
  <c r="R67" i="9"/>
  <c r="Q67" i="9"/>
  <c r="P67" i="9"/>
  <c r="O67" i="9"/>
  <c r="S66" i="9"/>
  <c r="R66" i="9"/>
  <c r="Q66" i="9"/>
  <c r="P66" i="9"/>
  <c r="O66" i="9"/>
  <c r="S65" i="9"/>
  <c r="R65" i="9"/>
  <c r="Q65" i="9"/>
  <c r="P65" i="9"/>
  <c r="O65" i="9"/>
  <c r="S64" i="9"/>
  <c r="R64" i="9"/>
  <c r="Q64" i="9"/>
  <c r="P64" i="9"/>
  <c r="O64" i="9"/>
  <c r="S63" i="9"/>
  <c r="R63" i="9"/>
  <c r="Q63" i="9"/>
  <c r="P63" i="9"/>
  <c r="O63" i="9"/>
  <c r="S62" i="9"/>
  <c r="R62" i="9"/>
  <c r="Q62" i="9"/>
  <c r="P62" i="9"/>
  <c r="O62" i="9"/>
  <c r="S61" i="9"/>
  <c r="R61" i="9"/>
  <c r="Q61" i="9"/>
  <c r="P61" i="9"/>
  <c r="O61" i="9"/>
  <c r="S60" i="9"/>
  <c r="R60" i="9"/>
  <c r="Q60" i="9"/>
  <c r="P60" i="9"/>
  <c r="O60" i="9"/>
  <c r="S59" i="9"/>
  <c r="R59" i="9"/>
  <c r="Q59" i="9"/>
  <c r="P59" i="9"/>
  <c r="O59" i="9"/>
  <c r="R58" i="9"/>
  <c r="P58" i="9"/>
  <c r="O58" i="9"/>
  <c r="J58" i="9"/>
  <c r="J169" i="9" s="1"/>
  <c r="S57" i="9"/>
  <c r="R57" i="9"/>
  <c r="Q57" i="9"/>
  <c r="P57" i="9"/>
  <c r="O57" i="9"/>
  <c r="S56" i="9"/>
  <c r="R56" i="9"/>
  <c r="Q56" i="9"/>
  <c r="P56" i="9"/>
  <c r="O56" i="9"/>
  <c r="S55" i="9"/>
  <c r="R55" i="9"/>
  <c r="Q55" i="9"/>
  <c r="P55" i="9"/>
  <c r="O55" i="9"/>
  <c r="S54" i="9"/>
  <c r="R54" i="9"/>
  <c r="Q54" i="9"/>
  <c r="P54" i="9"/>
  <c r="O54" i="9"/>
  <c r="S53" i="9"/>
  <c r="R53" i="9"/>
  <c r="P53" i="9"/>
  <c r="O53" i="9"/>
  <c r="S52" i="9"/>
  <c r="R52" i="9"/>
  <c r="P52" i="9"/>
  <c r="O52" i="9"/>
  <c r="S51" i="9"/>
  <c r="R51" i="9"/>
  <c r="Q51" i="9"/>
  <c r="P51" i="9"/>
  <c r="O51" i="9"/>
  <c r="S50" i="9"/>
  <c r="R50" i="9"/>
  <c r="Q50" i="9"/>
  <c r="P50" i="9"/>
  <c r="O50" i="9"/>
  <c r="Q49" i="9"/>
  <c r="P49" i="9"/>
  <c r="O49" i="9"/>
  <c r="M49" i="9"/>
  <c r="M160" i="9" s="1"/>
  <c r="L49" i="9"/>
  <c r="K49" i="9"/>
  <c r="S48" i="9"/>
  <c r="R48" i="9"/>
  <c r="Q48" i="9"/>
  <c r="P48" i="9"/>
  <c r="O48" i="9"/>
  <c r="S47" i="9"/>
  <c r="R47" i="9"/>
  <c r="Q47" i="9"/>
  <c r="P47" i="9"/>
  <c r="O47" i="9"/>
  <c r="S46" i="9"/>
  <c r="R46" i="9"/>
  <c r="Q46" i="9"/>
  <c r="O46" i="9"/>
  <c r="S45" i="9"/>
  <c r="R45" i="9"/>
  <c r="Q45" i="9"/>
  <c r="O45" i="9"/>
  <c r="S44" i="9"/>
  <c r="R44" i="9"/>
  <c r="Q44" i="9"/>
  <c r="O44" i="9"/>
  <c r="U44" i="9" s="1"/>
  <c r="S43" i="9"/>
  <c r="Q43" i="9"/>
  <c r="S42" i="9"/>
  <c r="R42" i="9"/>
  <c r="U43" i="9" s="1"/>
  <c r="Q42" i="9"/>
  <c r="O42" i="9"/>
  <c r="S41" i="9"/>
  <c r="R41" i="9"/>
  <c r="Q41" i="9"/>
  <c r="O41" i="9"/>
  <c r="S40" i="9"/>
  <c r="R40" i="9"/>
  <c r="Q40" i="9"/>
  <c r="O40" i="9"/>
  <c r="R35" i="9"/>
  <c r="U36" i="9" s="1"/>
  <c r="Q35" i="9"/>
  <c r="P35" i="9"/>
  <c r="O35" i="9"/>
  <c r="R34" i="9"/>
  <c r="Q34" i="9"/>
  <c r="P34" i="9"/>
  <c r="O34" i="9"/>
  <c r="R33" i="9"/>
  <c r="Q33" i="9"/>
  <c r="P33" i="9"/>
  <c r="O33" i="9"/>
  <c r="R32" i="9"/>
  <c r="Q32" i="9"/>
  <c r="P32" i="9"/>
  <c r="O32" i="9"/>
  <c r="R31" i="9"/>
  <c r="Q31" i="9"/>
  <c r="P31" i="9"/>
  <c r="O31" i="9"/>
  <c r="R30" i="9"/>
  <c r="Q30" i="9"/>
  <c r="P30" i="9"/>
  <c r="O30" i="9"/>
  <c r="R29" i="9"/>
  <c r="Q29" i="9"/>
  <c r="P29" i="9"/>
  <c r="O29" i="9"/>
  <c r="R28" i="9"/>
  <c r="Q28" i="9"/>
  <c r="P28" i="9"/>
  <c r="O28" i="9"/>
  <c r="R27" i="9"/>
  <c r="Q27" i="9"/>
  <c r="P27" i="9"/>
  <c r="O27" i="9"/>
  <c r="R26" i="9"/>
  <c r="Q26" i="9"/>
  <c r="P26" i="9"/>
  <c r="O26" i="9"/>
  <c r="R25" i="9"/>
  <c r="Q25" i="9"/>
  <c r="P25" i="9"/>
  <c r="O25" i="9"/>
  <c r="R24" i="9"/>
  <c r="Q24" i="9"/>
  <c r="P24" i="9"/>
  <c r="O24" i="9"/>
  <c r="R23" i="9"/>
  <c r="Q23" i="9"/>
  <c r="P23" i="9"/>
  <c r="O23" i="9"/>
  <c r="R22" i="9"/>
  <c r="Q22" i="9"/>
  <c r="P22" i="9"/>
  <c r="O22" i="9"/>
  <c r="R21" i="9"/>
  <c r="Q21" i="9"/>
  <c r="P21" i="9"/>
  <c r="O21" i="9"/>
  <c r="R20" i="9"/>
  <c r="Q20" i="9"/>
  <c r="P20" i="9"/>
  <c r="O20" i="9"/>
  <c r="R19" i="9"/>
  <c r="P19" i="9"/>
  <c r="O19" i="9"/>
  <c r="R18" i="9"/>
  <c r="Q18" i="9"/>
  <c r="P18" i="9"/>
  <c r="O18" i="9"/>
  <c r="R17" i="9"/>
  <c r="Q17" i="9"/>
  <c r="P17" i="9"/>
  <c r="O17" i="9"/>
  <c r="R16" i="9"/>
  <c r="Q16" i="9"/>
  <c r="P16" i="9"/>
  <c r="O16" i="9"/>
  <c r="R15" i="9"/>
  <c r="Q15" i="9"/>
  <c r="P15" i="9"/>
  <c r="O15" i="9"/>
  <c r="R14" i="9"/>
  <c r="Q14" i="9"/>
  <c r="P14" i="9"/>
  <c r="O14" i="9"/>
  <c r="R13" i="9"/>
  <c r="Q13" i="9"/>
  <c r="P13" i="9"/>
  <c r="O13" i="9"/>
  <c r="R12" i="9"/>
  <c r="Q12" i="9"/>
  <c r="P12" i="9"/>
  <c r="O12" i="9"/>
  <c r="R11" i="9"/>
  <c r="Q11" i="9"/>
  <c r="P11" i="9"/>
  <c r="O11" i="9"/>
  <c r="R10" i="9"/>
  <c r="Q10" i="9"/>
  <c r="P10" i="9"/>
  <c r="O10" i="9"/>
  <c r="R9" i="9"/>
  <c r="Q9" i="9"/>
  <c r="P9" i="9"/>
  <c r="O9" i="9"/>
  <c r="R8" i="9"/>
  <c r="Q8" i="9"/>
  <c r="P8" i="9"/>
  <c r="O8" i="9"/>
  <c r="R7" i="9"/>
  <c r="Q7" i="9"/>
  <c r="P7" i="9"/>
  <c r="O7" i="9"/>
  <c r="R6" i="9"/>
  <c r="Q6" i="9"/>
  <c r="P6" i="9"/>
  <c r="H48" i="10"/>
  <c r="E48" i="10"/>
  <c r="H47" i="10"/>
  <c r="E47" i="10"/>
  <c r="H46" i="10"/>
  <c r="E46" i="10"/>
  <c r="H45" i="10"/>
  <c r="E45" i="10"/>
  <c r="H44" i="10"/>
  <c r="E44" i="10"/>
  <c r="H43" i="10"/>
  <c r="E43" i="10"/>
  <c r="H42" i="10"/>
  <c r="E42" i="10"/>
  <c r="H41" i="10"/>
  <c r="E41" i="10"/>
  <c r="H40" i="10"/>
  <c r="E40" i="10"/>
  <c r="H39" i="10"/>
  <c r="E39" i="10"/>
  <c r="H38" i="10"/>
  <c r="E38" i="10"/>
  <c r="H37" i="10"/>
  <c r="E37" i="10"/>
  <c r="H36" i="10"/>
  <c r="E36" i="10"/>
  <c r="H35" i="10"/>
  <c r="E35" i="10"/>
  <c r="H34" i="10"/>
  <c r="E34" i="10"/>
  <c r="H33" i="10"/>
  <c r="E33" i="10"/>
  <c r="H32" i="10"/>
  <c r="E32" i="10"/>
  <c r="H31" i="10"/>
  <c r="E31" i="10"/>
  <c r="E30" i="10"/>
  <c r="H29" i="10"/>
  <c r="E29" i="10"/>
  <c r="H28" i="10"/>
  <c r="E28" i="10"/>
  <c r="H27" i="10"/>
  <c r="E27" i="10"/>
  <c r="H26" i="10"/>
  <c r="E26" i="10"/>
  <c r="H25" i="10"/>
  <c r="E25" i="10"/>
  <c r="H24" i="10"/>
  <c r="E24" i="10"/>
  <c r="H23" i="10"/>
  <c r="E23" i="10"/>
  <c r="H22" i="10"/>
  <c r="E22" i="10"/>
  <c r="H21" i="10"/>
  <c r="E21" i="10"/>
  <c r="H20" i="10"/>
  <c r="E20" i="10"/>
  <c r="H19" i="10"/>
  <c r="E19" i="10"/>
  <c r="H18" i="10"/>
  <c r="E18" i="10"/>
  <c r="H17" i="10"/>
  <c r="E17" i="10"/>
  <c r="H16" i="10"/>
  <c r="E16" i="10"/>
  <c r="H15" i="10"/>
  <c r="E15" i="10"/>
  <c r="H14" i="10"/>
  <c r="E14" i="10"/>
  <c r="H13" i="10"/>
  <c r="E13" i="10"/>
  <c r="H12" i="10"/>
  <c r="E12" i="10"/>
  <c r="H11" i="10"/>
  <c r="E11" i="10"/>
  <c r="H10" i="10"/>
  <c r="E10" i="10"/>
  <c r="H9" i="10"/>
  <c r="E9" i="10"/>
  <c r="H8" i="10"/>
  <c r="E8" i="10"/>
  <c r="H7" i="10"/>
  <c r="E7" i="10"/>
  <c r="D29" i="11"/>
  <c r="G29" i="11" s="1"/>
  <c r="D28" i="11"/>
  <c r="H28" i="11" s="1"/>
  <c r="D27" i="11"/>
  <c r="H27" i="11" s="1"/>
  <c r="D26" i="11"/>
  <c r="G26" i="11" s="1"/>
  <c r="D25" i="11"/>
  <c r="H25" i="11" s="1"/>
  <c r="D24" i="11"/>
  <c r="H24" i="11" s="1"/>
  <c r="D23" i="11"/>
  <c r="G23" i="11" s="1"/>
  <c r="D22" i="11"/>
  <c r="H22" i="11" s="1"/>
  <c r="D21" i="11"/>
  <c r="H21" i="11" s="1"/>
  <c r="D20" i="11"/>
  <c r="G20" i="11" s="1"/>
  <c r="D19" i="11"/>
  <c r="H19" i="11" s="1"/>
  <c r="D18" i="11"/>
  <c r="H18" i="11" s="1"/>
  <c r="C17" i="11"/>
  <c r="C16" i="11"/>
  <c r="D16" i="11" s="1"/>
  <c r="C15" i="11"/>
  <c r="D15" i="11" s="1"/>
  <c r="C14" i="11"/>
  <c r="C13" i="11"/>
  <c r="C12" i="11"/>
  <c r="D12" i="11" s="1"/>
  <c r="H12" i="11" s="1"/>
  <c r="C11" i="11"/>
  <c r="D11" i="11" s="1"/>
  <c r="C10" i="11"/>
  <c r="D10" i="11" s="1"/>
  <c r="C9" i="11"/>
  <c r="C8" i="11"/>
  <c r="D8" i="11" s="1"/>
  <c r="C7" i="11"/>
  <c r="H230" i="12"/>
  <c r="G230" i="12"/>
  <c r="D230" i="12"/>
  <c r="B230" i="12"/>
  <c r="H229" i="12"/>
  <c r="G229" i="12"/>
  <c r="B229" i="12"/>
  <c r="H228" i="12"/>
  <c r="B228" i="12"/>
  <c r="H227" i="12"/>
  <c r="G227" i="12"/>
  <c r="D227" i="12"/>
  <c r="C227" i="12"/>
  <c r="B227" i="12"/>
  <c r="H226" i="12"/>
  <c r="G226" i="12"/>
  <c r="B226" i="12"/>
  <c r="H225" i="12"/>
  <c r="G225" i="12"/>
  <c r="C225" i="12"/>
  <c r="B225" i="12"/>
  <c r="H224" i="12"/>
  <c r="G224" i="12"/>
  <c r="C224" i="12"/>
  <c r="B224" i="12"/>
  <c r="H223" i="12"/>
  <c r="G223" i="12"/>
  <c r="D223" i="12"/>
  <c r="C223" i="12"/>
  <c r="B223" i="12"/>
  <c r="H222" i="12"/>
  <c r="G222" i="12"/>
  <c r="C222" i="12"/>
  <c r="B222" i="12"/>
  <c r="H221" i="12"/>
  <c r="G221" i="12"/>
  <c r="B221" i="12"/>
  <c r="H220" i="12"/>
  <c r="G220" i="12"/>
  <c r="D220" i="12"/>
  <c r="C220" i="12"/>
  <c r="B220" i="12"/>
  <c r="G219" i="12"/>
  <c r="D219" i="12"/>
  <c r="C219" i="12"/>
  <c r="B219" i="12"/>
  <c r="H218" i="12"/>
  <c r="G218" i="12"/>
  <c r="D218" i="12"/>
  <c r="C218" i="12"/>
  <c r="B218" i="12"/>
  <c r="H217" i="12"/>
  <c r="G217" i="12"/>
  <c r="D217" i="12"/>
  <c r="C217" i="12"/>
  <c r="B217" i="12"/>
  <c r="H216" i="12"/>
  <c r="G216" i="12"/>
  <c r="D216" i="12"/>
  <c r="C216" i="12"/>
  <c r="B216" i="12"/>
  <c r="H215" i="12"/>
  <c r="G215" i="12"/>
  <c r="D215" i="12"/>
  <c r="B215" i="12"/>
  <c r="H214" i="12"/>
  <c r="J214" i="12" s="1"/>
  <c r="G214" i="12"/>
  <c r="D214" i="12"/>
  <c r="B214" i="12"/>
  <c r="H213" i="12"/>
  <c r="G213" i="12"/>
  <c r="D213" i="12"/>
  <c r="B213" i="12"/>
  <c r="H212" i="12"/>
  <c r="G212" i="12"/>
  <c r="D212" i="12"/>
  <c r="B212" i="12"/>
  <c r="H211" i="12"/>
  <c r="J211" i="12" s="1"/>
  <c r="G211" i="12"/>
  <c r="D211" i="12"/>
  <c r="B211" i="12"/>
  <c r="G210" i="12"/>
  <c r="D210" i="12"/>
  <c r="B210" i="12"/>
  <c r="H209" i="12"/>
  <c r="G209" i="12"/>
  <c r="C209" i="12"/>
  <c r="B209" i="12"/>
  <c r="H208" i="12"/>
  <c r="G208" i="12"/>
  <c r="D208" i="12"/>
  <c r="C208" i="12"/>
  <c r="B208" i="12"/>
  <c r="H207" i="12"/>
  <c r="G207" i="12"/>
  <c r="D207" i="12"/>
  <c r="H206" i="12"/>
  <c r="G206" i="12"/>
  <c r="D206" i="12"/>
  <c r="H205" i="12"/>
  <c r="G205" i="12"/>
  <c r="B205" i="12"/>
  <c r="H204" i="12"/>
  <c r="G204" i="12"/>
  <c r="B204" i="12"/>
  <c r="H203" i="12"/>
  <c r="G203" i="12"/>
  <c r="B203" i="12"/>
  <c r="H202" i="12"/>
  <c r="G202" i="12"/>
  <c r="D202" i="12"/>
  <c r="B202" i="12"/>
  <c r="H201" i="12"/>
  <c r="G201" i="12"/>
  <c r="D201" i="12"/>
  <c r="B201" i="12"/>
  <c r="H200" i="12"/>
  <c r="G200" i="12"/>
  <c r="D200" i="12"/>
  <c r="B200" i="12"/>
  <c r="H199" i="12"/>
  <c r="G199" i="12"/>
  <c r="D199" i="12"/>
  <c r="B199" i="12"/>
  <c r="H198" i="12"/>
  <c r="G198" i="12"/>
  <c r="D198" i="12"/>
  <c r="B198" i="12"/>
  <c r="H197" i="12"/>
  <c r="G197" i="12"/>
  <c r="D197" i="12"/>
  <c r="B197" i="12"/>
  <c r="H196" i="12"/>
  <c r="G196" i="12"/>
  <c r="D196" i="12"/>
  <c r="B196" i="12"/>
  <c r="H195" i="12"/>
  <c r="G195" i="12"/>
  <c r="D195" i="12"/>
  <c r="B195" i="12"/>
  <c r="H194" i="12"/>
  <c r="G194" i="12"/>
  <c r="D194" i="12"/>
  <c r="B194" i="12"/>
  <c r="H193" i="12"/>
  <c r="G193" i="12"/>
  <c r="D193" i="12"/>
  <c r="B193" i="12"/>
  <c r="H192" i="12"/>
  <c r="G192" i="12"/>
  <c r="D192" i="12"/>
  <c r="B192" i="12"/>
  <c r="H191" i="12"/>
  <c r="G191" i="12"/>
  <c r="D191" i="12"/>
  <c r="B191" i="12"/>
  <c r="H190" i="12"/>
  <c r="G190" i="12"/>
  <c r="D190" i="12"/>
  <c r="B190" i="12"/>
  <c r="H189" i="12"/>
  <c r="G189" i="12"/>
  <c r="D189" i="12"/>
  <c r="B189" i="12"/>
  <c r="I183" i="12"/>
  <c r="J181" i="12"/>
  <c r="I181" i="12"/>
  <c r="E181" i="12"/>
  <c r="I180" i="12"/>
  <c r="J179" i="12"/>
  <c r="I179" i="12"/>
  <c r="E179" i="12"/>
  <c r="J178" i="12"/>
  <c r="I178" i="12"/>
  <c r="E178" i="12"/>
  <c r="J177" i="12"/>
  <c r="I177" i="12"/>
  <c r="E177" i="12"/>
  <c r="J176" i="12"/>
  <c r="I176" i="12"/>
  <c r="E176" i="12"/>
  <c r="I175" i="12"/>
  <c r="J174" i="12"/>
  <c r="I174" i="12"/>
  <c r="E174" i="12"/>
  <c r="J173" i="12"/>
  <c r="I173" i="12"/>
  <c r="E173" i="12"/>
  <c r="J172" i="12"/>
  <c r="I172" i="12"/>
  <c r="E172" i="12"/>
  <c r="J171" i="12"/>
  <c r="I171" i="12"/>
  <c r="F171" i="12"/>
  <c r="E171" i="12"/>
  <c r="J170" i="12"/>
  <c r="I170" i="12"/>
  <c r="F170" i="12"/>
  <c r="E170" i="12"/>
  <c r="J169" i="12"/>
  <c r="I169" i="12"/>
  <c r="F169" i="12"/>
  <c r="C169" i="12"/>
  <c r="E169" i="12" s="1"/>
  <c r="J168" i="12"/>
  <c r="I168" i="12"/>
  <c r="F168" i="12"/>
  <c r="C168" i="12"/>
  <c r="E168" i="12" s="1"/>
  <c r="J167" i="12"/>
  <c r="I167" i="12"/>
  <c r="F167" i="12"/>
  <c r="C167" i="12"/>
  <c r="E167" i="12" s="1"/>
  <c r="J166" i="12"/>
  <c r="I166" i="12"/>
  <c r="F166" i="12"/>
  <c r="C166" i="12"/>
  <c r="E166" i="12" s="1"/>
  <c r="J165" i="12"/>
  <c r="I165" i="12"/>
  <c r="F165" i="12"/>
  <c r="C165" i="12"/>
  <c r="E165" i="12" s="1"/>
  <c r="J164" i="12"/>
  <c r="I164" i="12"/>
  <c r="F164" i="12"/>
  <c r="C164" i="12"/>
  <c r="E164" i="12" s="1"/>
  <c r="I163" i="12"/>
  <c r="E163" i="12"/>
  <c r="D163" i="12"/>
  <c r="D209" i="12" s="1"/>
  <c r="J162" i="12"/>
  <c r="I162" i="12"/>
  <c r="F162" i="12"/>
  <c r="E162" i="12"/>
  <c r="J161" i="12"/>
  <c r="I161" i="12"/>
  <c r="F161" i="12"/>
  <c r="E161" i="12"/>
  <c r="J160" i="12"/>
  <c r="I160" i="12"/>
  <c r="F160" i="12"/>
  <c r="B160" i="12"/>
  <c r="E160" i="12" s="1"/>
  <c r="J159" i="12"/>
  <c r="I159" i="12"/>
  <c r="C159" i="12"/>
  <c r="E159" i="12" s="1"/>
  <c r="I158" i="12"/>
  <c r="E158" i="12"/>
  <c r="D158" i="12"/>
  <c r="J158" i="12" s="1"/>
  <c r="I157" i="12"/>
  <c r="E157" i="12"/>
  <c r="D157" i="12"/>
  <c r="J157" i="12" s="1"/>
  <c r="J156" i="12"/>
  <c r="I156" i="12"/>
  <c r="F156" i="12"/>
  <c r="E156" i="12"/>
  <c r="J155" i="12"/>
  <c r="I155" i="12"/>
  <c r="F155" i="12"/>
  <c r="C155" i="12"/>
  <c r="E155" i="12" s="1"/>
  <c r="J154" i="12"/>
  <c r="I154" i="12"/>
  <c r="F154" i="12"/>
  <c r="C154" i="12"/>
  <c r="E154" i="12" s="1"/>
  <c r="J153" i="12"/>
  <c r="I153" i="12"/>
  <c r="F153" i="12"/>
  <c r="C153" i="12"/>
  <c r="E153" i="12" s="1"/>
  <c r="J152" i="12"/>
  <c r="I152" i="12"/>
  <c r="F152" i="12"/>
  <c r="C152" i="12"/>
  <c r="E152" i="12" s="1"/>
  <c r="J151" i="12"/>
  <c r="I151" i="12"/>
  <c r="F151" i="12"/>
  <c r="C151" i="12"/>
  <c r="E151" i="12" s="1"/>
  <c r="J150" i="12"/>
  <c r="I150" i="12"/>
  <c r="F150" i="12"/>
  <c r="C150" i="12"/>
  <c r="E150" i="12" s="1"/>
  <c r="J149" i="12"/>
  <c r="I149" i="12"/>
  <c r="F149" i="12"/>
  <c r="C149" i="12"/>
  <c r="E149" i="12" s="1"/>
  <c r="J148" i="12"/>
  <c r="I148" i="12"/>
  <c r="F148" i="12"/>
  <c r="C148" i="12"/>
  <c r="E148" i="12" s="1"/>
  <c r="J147" i="12"/>
  <c r="I147" i="12"/>
  <c r="F147" i="12"/>
  <c r="C147" i="12"/>
  <c r="E147" i="12" s="1"/>
  <c r="J146" i="12"/>
  <c r="I146" i="12"/>
  <c r="F146" i="12"/>
  <c r="C146" i="12"/>
  <c r="E146" i="12" s="1"/>
  <c r="J145" i="12"/>
  <c r="I145" i="12"/>
  <c r="F145" i="12"/>
  <c r="C145" i="12"/>
  <c r="E145" i="12" s="1"/>
  <c r="J144" i="12"/>
  <c r="I144" i="12"/>
  <c r="F144" i="12"/>
  <c r="C144" i="12"/>
  <c r="E144" i="12" s="1"/>
  <c r="J143" i="12"/>
  <c r="I143" i="12"/>
  <c r="F143" i="12"/>
  <c r="C143" i="12"/>
  <c r="E143" i="12" s="1"/>
  <c r="J136" i="12"/>
  <c r="I136" i="12"/>
  <c r="E136" i="12"/>
  <c r="I135" i="12"/>
  <c r="E135" i="12"/>
  <c r="J135" i="12"/>
  <c r="J134" i="12"/>
  <c r="I134" i="12"/>
  <c r="F134" i="12"/>
  <c r="E134" i="12"/>
  <c r="I133" i="12"/>
  <c r="E133" i="12"/>
  <c r="J133" i="12"/>
  <c r="I132" i="12"/>
  <c r="E132" i="12"/>
  <c r="J132" i="12"/>
  <c r="J131" i="12"/>
  <c r="I131" i="12"/>
  <c r="F131" i="12"/>
  <c r="E131" i="12"/>
  <c r="J130" i="12"/>
  <c r="I130" i="12"/>
  <c r="F130" i="12"/>
  <c r="E130" i="12"/>
  <c r="I129" i="12"/>
  <c r="E129" i="12"/>
  <c r="J129" i="12"/>
  <c r="I128" i="12"/>
  <c r="E128" i="12"/>
  <c r="J128" i="12"/>
  <c r="J127" i="12"/>
  <c r="I127" i="12"/>
  <c r="F127" i="12"/>
  <c r="E127" i="12"/>
  <c r="F126" i="12"/>
  <c r="E126" i="12"/>
  <c r="J125" i="12"/>
  <c r="I125" i="12"/>
  <c r="F125" i="12"/>
  <c r="E125" i="12"/>
  <c r="J124" i="12"/>
  <c r="I124" i="12"/>
  <c r="F124" i="12"/>
  <c r="E124" i="12"/>
  <c r="J123" i="12"/>
  <c r="I123" i="12"/>
  <c r="F123" i="12"/>
  <c r="E123" i="12"/>
  <c r="J122" i="12"/>
  <c r="I122" i="12"/>
  <c r="F122" i="12"/>
  <c r="E122" i="12"/>
  <c r="J121" i="12"/>
  <c r="I121" i="12"/>
  <c r="F121" i="12"/>
  <c r="E121" i="12"/>
  <c r="J120" i="12"/>
  <c r="I120" i="12"/>
  <c r="F120" i="12"/>
  <c r="E120" i="12"/>
  <c r="J119" i="12"/>
  <c r="I119" i="12"/>
  <c r="F119" i="12"/>
  <c r="E119" i="12"/>
  <c r="J118" i="12"/>
  <c r="I118" i="12"/>
  <c r="F118" i="12"/>
  <c r="E118" i="12"/>
  <c r="F117" i="12"/>
  <c r="E117" i="12"/>
  <c r="J116" i="12"/>
  <c r="I116" i="12"/>
  <c r="F116" i="12"/>
  <c r="E116" i="12"/>
  <c r="J115" i="12"/>
  <c r="I115" i="12"/>
  <c r="F115" i="12"/>
  <c r="E115" i="12"/>
  <c r="J114" i="12"/>
  <c r="I114" i="12"/>
  <c r="F114" i="12"/>
  <c r="J113" i="12"/>
  <c r="I113" i="12"/>
  <c r="F113" i="12"/>
  <c r="I112" i="12"/>
  <c r="I111" i="12"/>
  <c r="I110" i="12"/>
  <c r="J109" i="12"/>
  <c r="I109" i="12"/>
  <c r="F109" i="12"/>
  <c r="E109" i="12"/>
  <c r="J108" i="12"/>
  <c r="I108" i="12"/>
  <c r="F108" i="12"/>
  <c r="E108" i="12"/>
  <c r="J107" i="12"/>
  <c r="I107" i="12"/>
  <c r="F107" i="12"/>
  <c r="E107" i="12"/>
  <c r="J106" i="12"/>
  <c r="I106" i="12"/>
  <c r="F106" i="12"/>
  <c r="C106" i="12"/>
  <c r="E106" i="12" s="1"/>
  <c r="J105" i="12"/>
  <c r="I105" i="12"/>
  <c r="F105" i="12"/>
  <c r="C105" i="12"/>
  <c r="E105" i="12" s="1"/>
  <c r="J104" i="12"/>
  <c r="I104" i="12"/>
  <c r="F104" i="12"/>
  <c r="C104" i="12"/>
  <c r="E104" i="12" s="1"/>
  <c r="J103" i="12"/>
  <c r="I103" i="12"/>
  <c r="F103" i="12"/>
  <c r="C103" i="12"/>
  <c r="E103" i="12" s="1"/>
  <c r="J102" i="12"/>
  <c r="I102" i="12"/>
  <c r="F102" i="12"/>
  <c r="C102" i="12"/>
  <c r="E102" i="12" s="1"/>
  <c r="J101" i="12"/>
  <c r="I101" i="12"/>
  <c r="F101" i="12"/>
  <c r="C101" i="12"/>
  <c r="E101" i="12" s="1"/>
  <c r="J100" i="12"/>
  <c r="I100" i="12"/>
  <c r="F100" i="12"/>
  <c r="C100" i="12"/>
  <c r="E100" i="12" s="1"/>
  <c r="J99" i="12"/>
  <c r="I99" i="12"/>
  <c r="F99" i="12"/>
  <c r="C99" i="12"/>
  <c r="E99" i="12" s="1"/>
  <c r="J98" i="12"/>
  <c r="I98" i="12"/>
  <c r="F98" i="12"/>
  <c r="C98" i="12"/>
  <c r="E98" i="12" s="1"/>
  <c r="J97" i="12"/>
  <c r="I97" i="12"/>
  <c r="F97" i="12"/>
  <c r="C97" i="12"/>
  <c r="E97" i="12" s="1"/>
  <c r="J96" i="12"/>
  <c r="I96" i="12"/>
  <c r="F96" i="12"/>
  <c r="C96" i="12"/>
  <c r="E96" i="12" s="1"/>
  <c r="J92" i="12"/>
  <c r="I92" i="12"/>
  <c r="F92" i="12"/>
  <c r="E92" i="12"/>
  <c r="J91" i="12"/>
  <c r="I91" i="12"/>
  <c r="F91" i="12"/>
  <c r="E91" i="12"/>
  <c r="J90" i="12"/>
  <c r="I90" i="12"/>
  <c r="F90" i="12"/>
  <c r="E90" i="12"/>
  <c r="J89" i="12"/>
  <c r="I89" i="12"/>
  <c r="F89" i="12"/>
  <c r="E89" i="12"/>
  <c r="I88" i="12"/>
  <c r="E88" i="12"/>
  <c r="J88" i="12"/>
  <c r="J87" i="12"/>
  <c r="I87" i="12"/>
  <c r="F87" i="12"/>
  <c r="E87" i="12"/>
  <c r="J86" i="12"/>
  <c r="I86" i="12"/>
  <c r="F86" i="12"/>
  <c r="E86" i="12"/>
  <c r="J85" i="12"/>
  <c r="I85" i="12"/>
  <c r="F85" i="12"/>
  <c r="E85" i="12"/>
  <c r="J84" i="12"/>
  <c r="I84" i="12"/>
  <c r="F84" i="12"/>
  <c r="E84" i="12"/>
  <c r="J83" i="12"/>
  <c r="I83" i="12"/>
  <c r="F83" i="12"/>
  <c r="E83" i="12"/>
  <c r="J82" i="12"/>
  <c r="I82" i="12"/>
  <c r="F82" i="12"/>
  <c r="E82" i="12"/>
  <c r="J81" i="12"/>
  <c r="I81" i="12"/>
  <c r="F81" i="12"/>
  <c r="C81" i="12"/>
  <c r="E81" i="12" s="1"/>
  <c r="J80" i="12"/>
  <c r="I80" i="12"/>
  <c r="F80" i="12"/>
  <c r="C80" i="12"/>
  <c r="E80" i="12" s="1"/>
  <c r="J79" i="12"/>
  <c r="I79" i="12"/>
  <c r="F79" i="12"/>
  <c r="C79" i="12"/>
  <c r="E79" i="12" s="1"/>
  <c r="J78" i="12"/>
  <c r="I78" i="12"/>
  <c r="F78" i="12"/>
  <c r="C78" i="12"/>
  <c r="E78" i="12" s="1"/>
  <c r="J77" i="12"/>
  <c r="I77" i="12"/>
  <c r="F77" i="12"/>
  <c r="C77" i="12"/>
  <c r="E77" i="12" s="1"/>
  <c r="J76" i="12"/>
  <c r="I76" i="12"/>
  <c r="F76" i="12"/>
  <c r="E76" i="12"/>
  <c r="J75" i="12"/>
  <c r="I75" i="12"/>
  <c r="F75" i="12"/>
  <c r="E75" i="12"/>
  <c r="J74" i="12"/>
  <c r="I74" i="12"/>
  <c r="F74" i="12"/>
  <c r="E74" i="12"/>
  <c r="J73" i="12"/>
  <c r="I73" i="12"/>
  <c r="F73" i="12"/>
  <c r="E73" i="12"/>
  <c r="J72" i="12"/>
  <c r="I72" i="12"/>
  <c r="F72" i="12"/>
  <c r="C72" i="12"/>
  <c r="J71" i="12"/>
  <c r="I71" i="12"/>
  <c r="F71" i="12"/>
  <c r="C71" i="12"/>
  <c r="J70" i="12"/>
  <c r="I70" i="12"/>
  <c r="F70" i="12"/>
  <c r="E70" i="12"/>
  <c r="J69" i="12"/>
  <c r="I69" i="12"/>
  <c r="F69" i="12"/>
  <c r="C69" i="12"/>
  <c r="C202" i="12" s="1"/>
  <c r="J68" i="12"/>
  <c r="I68" i="12"/>
  <c r="F68" i="12"/>
  <c r="C68" i="12"/>
  <c r="E68" i="12" s="1"/>
  <c r="J67" i="12"/>
  <c r="I67" i="12"/>
  <c r="F67" i="12"/>
  <c r="C67" i="12"/>
  <c r="E67" i="12" s="1"/>
  <c r="J66" i="12"/>
  <c r="I66" i="12"/>
  <c r="F66" i="12"/>
  <c r="C66" i="12"/>
  <c r="E66" i="12" s="1"/>
  <c r="J65" i="12"/>
  <c r="I65" i="12"/>
  <c r="F65" i="12"/>
  <c r="C65" i="12"/>
  <c r="E65" i="12" s="1"/>
  <c r="J64" i="12"/>
  <c r="I64" i="12"/>
  <c r="F64" i="12"/>
  <c r="C64" i="12"/>
  <c r="E64" i="12" s="1"/>
  <c r="J63" i="12"/>
  <c r="I63" i="12"/>
  <c r="F63" i="12"/>
  <c r="C63" i="12"/>
  <c r="E63" i="12" s="1"/>
  <c r="J62" i="12"/>
  <c r="I62" i="12"/>
  <c r="F62" i="12"/>
  <c r="C62" i="12"/>
  <c r="E62" i="12" s="1"/>
  <c r="J61" i="12"/>
  <c r="I61" i="12"/>
  <c r="F61" i="12"/>
  <c r="C61" i="12"/>
  <c r="E61" i="12" s="1"/>
  <c r="J60" i="12"/>
  <c r="I60" i="12"/>
  <c r="F60" i="12"/>
  <c r="C60" i="12"/>
  <c r="E60" i="12" s="1"/>
  <c r="J59" i="12"/>
  <c r="I59" i="12"/>
  <c r="F59" i="12"/>
  <c r="C59" i="12"/>
  <c r="E59" i="12" s="1"/>
  <c r="J58" i="12"/>
  <c r="I58" i="12"/>
  <c r="F58" i="12"/>
  <c r="C58" i="12"/>
  <c r="E58" i="12" s="1"/>
  <c r="J57" i="12"/>
  <c r="I57" i="12"/>
  <c r="F57" i="12"/>
  <c r="C57" i="12"/>
  <c r="E57" i="12" s="1"/>
  <c r="J56" i="12"/>
  <c r="I56" i="12"/>
  <c r="F56" i="12"/>
  <c r="C56" i="12"/>
  <c r="E56" i="12" s="1"/>
  <c r="J49" i="12"/>
  <c r="I49" i="12"/>
  <c r="E49" i="12"/>
  <c r="I48" i="12"/>
  <c r="E48" i="12"/>
  <c r="J47" i="12"/>
  <c r="I47" i="12"/>
  <c r="F47" i="12"/>
  <c r="E47" i="12"/>
  <c r="I46" i="12"/>
  <c r="E46" i="12"/>
  <c r="J46" i="12"/>
  <c r="I45" i="12"/>
  <c r="E45" i="12"/>
  <c r="I44" i="12"/>
  <c r="E44" i="12"/>
  <c r="D224" i="12"/>
  <c r="J43" i="12"/>
  <c r="I43" i="12"/>
  <c r="F43" i="12"/>
  <c r="E43" i="12"/>
  <c r="I42" i="12"/>
  <c r="E42" i="12"/>
  <c r="D222" i="12"/>
  <c r="I41" i="12"/>
  <c r="E41" i="12"/>
  <c r="J41" i="12"/>
  <c r="J40" i="12"/>
  <c r="I40" i="12"/>
  <c r="F40" i="12"/>
  <c r="E40" i="12"/>
  <c r="J39" i="12"/>
  <c r="I39" i="12"/>
  <c r="F39" i="12"/>
  <c r="E39" i="12"/>
  <c r="J38" i="12"/>
  <c r="I38" i="12"/>
  <c r="F38" i="12"/>
  <c r="E38" i="12"/>
  <c r="J37" i="12"/>
  <c r="I37" i="12"/>
  <c r="F37" i="12"/>
  <c r="E37" i="12"/>
  <c r="J36" i="12"/>
  <c r="I36" i="12"/>
  <c r="F36" i="12"/>
  <c r="E36" i="12"/>
  <c r="J35" i="12"/>
  <c r="I35" i="12"/>
  <c r="F35" i="12"/>
  <c r="E35" i="12"/>
  <c r="J34" i="12"/>
  <c r="I34" i="12"/>
  <c r="F34" i="12"/>
  <c r="J33" i="12"/>
  <c r="I33" i="12"/>
  <c r="F33" i="12"/>
  <c r="J32" i="12"/>
  <c r="I32" i="12"/>
  <c r="F32" i="12"/>
  <c r="J31" i="12"/>
  <c r="I31" i="12"/>
  <c r="F31" i="12"/>
  <c r="E31" i="12"/>
  <c r="J30" i="12"/>
  <c r="I30" i="12"/>
  <c r="F30" i="12"/>
  <c r="J29" i="12"/>
  <c r="I29" i="12"/>
  <c r="F29" i="12"/>
  <c r="E29" i="12"/>
  <c r="J28" i="12"/>
  <c r="I28" i="12"/>
  <c r="F28" i="12"/>
  <c r="E28" i="12"/>
  <c r="J27" i="12"/>
  <c r="I27" i="12"/>
  <c r="F27" i="12"/>
  <c r="E27" i="12"/>
  <c r="J26" i="12"/>
  <c r="I26" i="12"/>
  <c r="F26" i="12"/>
  <c r="J25" i="12"/>
  <c r="I25" i="12"/>
  <c r="F25" i="12"/>
  <c r="E25" i="12"/>
  <c r="J24" i="12"/>
  <c r="I24" i="12"/>
  <c r="F24" i="12"/>
  <c r="E24" i="12"/>
  <c r="J23" i="12"/>
  <c r="I23" i="12"/>
  <c r="F23" i="12"/>
  <c r="E23" i="12"/>
  <c r="J22" i="12"/>
  <c r="I22" i="12"/>
  <c r="F22" i="12"/>
  <c r="E22" i="12"/>
  <c r="J21" i="12"/>
  <c r="I21" i="12"/>
  <c r="F21" i="12"/>
  <c r="J20" i="12"/>
  <c r="I20" i="12"/>
  <c r="F20" i="12"/>
  <c r="E20" i="12"/>
  <c r="J19" i="12"/>
  <c r="I19" i="12"/>
  <c r="F19" i="12"/>
  <c r="E19" i="12"/>
  <c r="J18" i="12"/>
  <c r="I18" i="12"/>
  <c r="F18" i="12"/>
  <c r="J17" i="12"/>
  <c r="I17" i="12"/>
  <c r="F17" i="12"/>
  <c r="E17" i="12"/>
  <c r="J16" i="12"/>
  <c r="I16" i="12"/>
  <c r="F16" i="12"/>
  <c r="J15" i="12"/>
  <c r="I15" i="12"/>
  <c r="F15" i="12"/>
  <c r="E15" i="12"/>
  <c r="J14" i="12"/>
  <c r="I14" i="12"/>
  <c r="F14" i="12"/>
  <c r="J13" i="12"/>
  <c r="I13" i="12"/>
  <c r="F13" i="12"/>
  <c r="J12" i="12"/>
  <c r="I12" i="12"/>
  <c r="F12" i="12"/>
  <c r="J11" i="12"/>
  <c r="I11" i="12"/>
  <c r="F11" i="12"/>
  <c r="J10" i="12"/>
  <c r="I10" i="12"/>
  <c r="F10" i="12"/>
  <c r="E10" i="12"/>
  <c r="J9" i="12"/>
  <c r="I9" i="12"/>
  <c r="F9" i="12"/>
  <c r="C9" i="12"/>
  <c r="AO130" i="13"/>
  <c r="AN130" i="13"/>
  <c r="AM130" i="13"/>
  <c r="AL130" i="13"/>
  <c r="AK130" i="13"/>
  <c r="AJ130" i="13"/>
  <c r="AI130" i="13"/>
  <c r="AH130" i="13"/>
  <c r="AG130" i="13"/>
  <c r="AF130" i="13"/>
  <c r="AE130" i="13"/>
  <c r="AD130" i="13"/>
  <c r="AC130" i="13"/>
  <c r="AB130" i="13"/>
  <c r="AA130" i="13"/>
  <c r="Z130" i="13"/>
  <c r="Y130" i="13"/>
  <c r="X130" i="13"/>
  <c r="W130" i="13"/>
  <c r="V130" i="13"/>
  <c r="U130" i="13"/>
  <c r="T130" i="13"/>
  <c r="S130" i="13"/>
  <c r="R130" i="13"/>
  <c r="Q130" i="13"/>
  <c r="P130" i="13"/>
  <c r="O130" i="13"/>
  <c r="N130" i="13"/>
  <c r="M130" i="13"/>
  <c r="L130" i="13"/>
  <c r="K130" i="13"/>
  <c r="J130" i="13"/>
  <c r="I130" i="13"/>
  <c r="H130" i="13"/>
  <c r="G130" i="13"/>
  <c r="F130" i="13"/>
  <c r="E130" i="13"/>
  <c r="D130" i="13"/>
  <c r="C130" i="13"/>
  <c r="B130" i="13"/>
  <c r="AO123" i="13"/>
  <c r="AN123" i="13"/>
  <c r="AM123" i="13"/>
  <c r="AL123" i="13"/>
  <c r="AK123" i="13"/>
  <c r="AJ123" i="13"/>
  <c r="AI123" i="13"/>
  <c r="AH123" i="13"/>
  <c r="AG123" i="13"/>
  <c r="AF123" i="13"/>
  <c r="AE123" i="13"/>
  <c r="AD123" i="13"/>
  <c r="AC123" i="13"/>
  <c r="AB123" i="13"/>
  <c r="AA123" i="13"/>
  <c r="Z123" i="13"/>
  <c r="Y123" i="13"/>
  <c r="X123" i="13"/>
  <c r="W123" i="13"/>
  <c r="V123" i="13"/>
  <c r="U123" i="13"/>
  <c r="T123" i="13"/>
  <c r="S123" i="13"/>
  <c r="R123" i="13"/>
  <c r="Q123" i="13"/>
  <c r="P123" i="13"/>
  <c r="O123" i="13"/>
  <c r="N123" i="13"/>
  <c r="M123" i="13"/>
  <c r="L123" i="13"/>
  <c r="K123" i="13"/>
  <c r="J123" i="13"/>
  <c r="I123" i="13"/>
  <c r="H123" i="13"/>
  <c r="G123" i="13"/>
  <c r="F123" i="13"/>
  <c r="E123" i="13"/>
  <c r="D123" i="13"/>
  <c r="C123" i="13"/>
  <c r="B123" i="13"/>
  <c r="AO114" i="13"/>
  <c r="AN114" i="13"/>
  <c r="AM114" i="13"/>
  <c r="AL114" i="13"/>
  <c r="AK114" i="13"/>
  <c r="AJ114" i="13"/>
  <c r="AI114" i="13"/>
  <c r="AH114" i="13"/>
  <c r="AG114" i="13"/>
  <c r="AF114" i="13"/>
  <c r="AE114" i="13"/>
  <c r="AD114" i="13"/>
  <c r="AC114" i="13"/>
  <c r="AB114" i="13"/>
  <c r="AA114" i="13"/>
  <c r="Z114" i="13"/>
  <c r="Y114" i="13"/>
  <c r="X114" i="13"/>
  <c r="W114" i="13"/>
  <c r="V114" i="13"/>
  <c r="U114" i="13"/>
  <c r="T114" i="13"/>
  <c r="S114" i="13"/>
  <c r="R114" i="13"/>
  <c r="Q114" i="13"/>
  <c r="P114" i="13"/>
  <c r="O114" i="13"/>
  <c r="N114" i="13"/>
  <c r="M114" i="13"/>
  <c r="L114" i="13"/>
  <c r="K114" i="13"/>
  <c r="J114" i="13"/>
  <c r="I114" i="13"/>
  <c r="H114" i="13"/>
  <c r="G114" i="13"/>
  <c r="F114" i="13"/>
  <c r="E114" i="13"/>
  <c r="D114" i="13"/>
  <c r="C114" i="13"/>
  <c r="B114" i="13"/>
  <c r="AO109" i="13"/>
  <c r="AN109" i="13"/>
  <c r="AM109" i="13"/>
  <c r="AL109" i="13"/>
  <c r="AK109" i="13"/>
  <c r="AJ109" i="13"/>
  <c r="AI109" i="13"/>
  <c r="AH109" i="13"/>
  <c r="AG109" i="13"/>
  <c r="AF109" i="13"/>
  <c r="AE109" i="13"/>
  <c r="AD109" i="13"/>
  <c r="AC109" i="13"/>
  <c r="AB109" i="13"/>
  <c r="AA109" i="13"/>
  <c r="Z109" i="13"/>
  <c r="Y109" i="13"/>
  <c r="X109" i="13"/>
  <c r="W109" i="13"/>
  <c r="V109" i="13"/>
  <c r="U109" i="13"/>
  <c r="T109" i="13"/>
  <c r="S109" i="13"/>
  <c r="R109" i="13"/>
  <c r="Q109" i="13"/>
  <c r="P109" i="13"/>
  <c r="O109" i="13"/>
  <c r="N109" i="13"/>
  <c r="M109" i="13"/>
  <c r="L109" i="13"/>
  <c r="K109" i="13"/>
  <c r="J109" i="13"/>
  <c r="I109" i="13"/>
  <c r="H109" i="13"/>
  <c r="G109" i="13"/>
  <c r="F109" i="13"/>
  <c r="E109" i="13"/>
  <c r="C109" i="13"/>
  <c r="B109" i="13"/>
  <c r="AA100" i="13"/>
  <c r="Z100" i="13"/>
  <c r="Y100" i="13"/>
  <c r="X100" i="13"/>
  <c r="W100" i="13"/>
  <c r="V100" i="13"/>
  <c r="U100" i="13"/>
  <c r="T100" i="13"/>
  <c r="S100" i="13"/>
  <c r="R100" i="13"/>
  <c r="Q100" i="13"/>
  <c r="P100" i="13"/>
  <c r="O100" i="13"/>
  <c r="N100" i="13"/>
  <c r="M100" i="13"/>
  <c r="L100" i="13"/>
  <c r="K100" i="13"/>
  <c r="J100" i="13"/>
  <c r="I100" i="13"/>
  <c r="H100" i="13"/>
  <c r="G100" i="13"/>
  <c r="F100" i="13"/>
  <c r="E100" i="13"/>
  <c r="D100" i="13"/>
  <c r="C100" i="13"/>
  <c r="B100" i="13"/>
  <c r="Q98" i="13"/>
  <c r="P98" i="13"/>
  <c r="O98" i="13"/>
  <c r="N98" i="13"/>
  <c r="M98" i="13"/>
  <c r="L98" i="13"/>
  <c r="AP95" i="13"/>
  <c r="AO95" i="13"/>
  <c r="AN95" i="13"/>
  <c r="AM95" i="13"/>
  <c r="AL95" i="13"/>
  <c r="AD95" i="13"/>
  <c r="AC95" i="13"/>
  <c r="AB95" i="13"/>
  <c r="AA95" i="13"/>
  <c r="Z95" i="13"/>
  <c r="Y95" i="13"/>
  <c r="X95" i="13"/>
  <c r="W95" i="13"/>
  <c r="V95" i="13"/>
  <c r="U95" i="13"/>
  <c r="T95" i="13"/>
  <c r="S95" i="13"/>
  <c r="R95" i="13"/>
  <c r="AP94" i="13"/>
  <c r="AO94" i="13"/>
  <c r="AN94" i="13"/>
  <c r="AM94" i="13"/>
  <c r="AL94" i="13"/>
  <c r="AK94" i="13"/>
  <c r="AJ94" i="13"/>
  <c r="AI94" i="13"/>
  <c r="AH94" i="13"/>
  <c r="AG94" i="13"/>
  <c r="AF94" i="13"/>
  <c r="AE94" i="13"/>
  <c r="AD94" i="13"/>
  <c r="AC94" i="13"/>
  <c r="AB94" i="13"/>
  <c r="AA94" i="13"/>
  <c r="Z94" i="13"/>
  <c r="Y94" i="13"/>
  <c r="X94" i="13"/>
  <c r="W94" i="13"/>
  <c r="V94" i="13"/>
  <c r="U94" i="13"/>
  <c r="T94" i="13"/>
  <c r="S94" i="13"/>
  <c r="R94" i="13"/>
  <c r="Q94" i="13"/>
  <c r="P94" i="13"/>
  <c r="O94" i="13"/>
  <c r="N94" i="13"/>
  <c r="M94" i="13"/>
  <c r="L94" i="13"/>
  <c r="K94" i="13"/>
  <c r="J94" i="13"/>
  <c r="I94" i="13"/>
  <c r="H94" i="13"/>
  <c r="G94" i="13"/>
  <c r="F94" i="13"/>
  <c r="E94" i="13"/>
  <c r="D94" i="13"/>
  <c r="C94" i="13"/>
  <c r="B94" i="13"/>
  <c r="AP93" i="13"/>
  <c r="AO93" i="13"/>
  <c r="AN93" i="13"/>
  <c r="AM93" i="13"/>
  <c r="AL93" i="13"/>
  <c r="AK93" i="13"/>
  <c r="AJ93" i="13"/>
  <c r="AI93" i="13"/>
  <c r="AH93" i="13"/>
  <c r="AG93" i="13"/>
  <c r="AF93" i="13"/>
  <c r="AE93" i="13"/>
  <c r="AD93" i="13"/>
  <c r="AC93" i="13"/>
  <c r="AB93" i="13"/>
  <c r="AA93" i="13"/>
  <c r="Z93" i="13"/>
  <c r="Y93" i="13"/>
  <c r="X93" i="13"/>
  <c r="W93" i="13"/>
  <c r="V93" i="13"/>
  <c r="U93" i="13"/>
  <c r="T93" i="13"/>
  <c r="S93" i="13"/>
  <c r="R93" i="13"/>
  <c r="Q93" i="13"/>
  <c r="P93" i="13"/>
  <c r="O93" i="13"/>
  <c r="N93" i="13"/>
  <c r="M93" i="13"/>
  <c r="L93" i="13"/>
  <c r="K93" i="13"/>
  <c r="J93" i="13"/>
  <c r="I93" i="13"/>
  <c r="H93" i="13"/>
  <c r="G93" i="13"/>
  <c r="F93" i="13"/>
  <c r="E93" i="13"/>
  <c r="D93" i="13"/>
  <c r="C93" i="13"/>
  <c r="B93" i="13"/>
  <c r="AP92" i="13"/>
  <c r="AO92" i="13"/>
  <c r="AN92" i="13"/>
  <c r="AM92" i="13"/>
  <c r="AL92" i="13"/>
  <c r="AK92" i="13"/>
  <c r="AJ92" i="13"/>
  <c r="AI92" i="13"/>
  <c r="AH92" i="13"/>
  <c r="AG92" i="13"/>
  <c r="AF92" i="13"/>
  <c r="AE92" i="13"/>
  <c r="AD92" i="13"/>
  <c r="AC92" i="13"/>
  <c r="AB92" i="13"/>
  <c r="AA92" i="13"/>
  <c r="Z92" i="13"/>
  <c r="Y92" i="13"/>
  <c r="X92" i="13"/>
  <c r="W92" i="13"/>
  <c r="V92" i="13"/>
  <c r="U92" i="13"/>
  <c r="T92" i="13"/>
  <c r="S92" i="13"/>
  <c r="R92" i="13"/>
  <c r="Q92" i="13"/>
  <c r="P92" i="13"/>
  <c r="O92" i="13"/>
  <c r="N92" i="13"/>
  <c r="M92" i="13"/>
  <c r="L92" i="13"/>
  <c r="K92" i="13"/>
  <c r="J92" i="13"/>
  <c r="I92" i="13"/>
  <c r="H92" i="13"/>
  <c r="G92" i="13"/>
  <c r="F92" i="13"/>
  <c r="E92" i="13"/>
  <c r="D92" i="13"/>
  <c r="C92" i="13"/>
  <c r="B92" i="13"/>
  <c r="AP88" i="13"/>
  <c r="AO88" i="13"/>
  <c r="AN88" i="13"/>
  <c r="AM88" i="13"/>
  <c r="AL88" i="13"/>
  <c r="AK88" i="13"/>
  <c r="AJ88" i="13"/>
  <c r="AI88" i="13"/>
  <c r="AH88" i="13"/>
  <c r="AG88" i="13"/>
  <c r="AF88" i="13"/>
  <c r="AE88" i="13"/>
  <c r="AD88" i="13"/>
  <c r="AC88" i="13"/>
  <c r="AB88" i="13"/>
  <c r="AA88" i="13"/>
  <c r="Z88" i="13"/>
  <c r="Y88" i="13"/>
  <c r="X88" i="13"/>
  <c r="W88" i="13"/>
  <c r="V88" i="13"/>
  <c r="U88" i="13"/>
  <c r="T88" i="13"/>
  <c r="S88" i="13"/>
  <c r="R88" i="13"/>
  <c r="Q88" i="13"/>
  <c r="P88" i="13"/>
  <c r="O88" i="13"/>
  <c r="N88" i="13"/>
  <c r="M88" i="13"/>
  <c r="L88" i="13"/>
  <c r="K88" i="13"/>
  <c r="J88" i="13"/>
  <c r="I88" i="13"/>
  <c r="H88" i="13"/>
  <c r="G88" i="13"/>
  <c r="F88" i="13"/>
  <c r="E88" i="13"/>
  <c r="D88" i="13"/>
  <c r="C88" i="13"/>
  <c r="B88" i="13"/>
  <c r="S87" i="13"/>
  <c r="R87" i="13"/>
  <c r="Q87" i="13"/>
  <c r="P87" i="13"/>
  <c r="O87" i="13"/>
  <c r="N87" i="13"/>
  <c r="M87" i="13"/>
  <c r="L87" i="13"/>
  <c r="K87" i="13"/>
  <c r="J87" i="13"/>
  <c r="I87" i="13"/>
  <c r="H87" i="13"/>
  <c r="G87" i="13"/>
  <c r="F87" i="13"/>
  <c r="E87" i="13"/>
  <c r="D87" i="13"/>
  <c r="C87" i="13"/>
  <c r="B87" i="13"/>
  <c r="S86" i="13"/>
  <c r="R86" i="13"/>
  <c r="AP85" i="13"/>
  <c r="AO85" i="13"/>
  <c r="AN85" i="13"/>
  <c r="AM85" i="13"/>
  <c r="AL85" i="13"/>
  <c r="AK85" i="13"/>
  <c r="AJ85" i="13"/>
  <c r="AI85" i="13"/>
  <c r="AH85" i="13"/>
  <c r="AG85" i="13"/>
  <c r="AF85" i="13"/>
  <c r="AE85" i="13"/>
  <c r="AD85" i="13"/>
  <c r="AC85" i="13"/>
  <c r="AB85" i="13"/>
  <c r="AA85" i="13"/>
  <c r="Z85" i="13"/>
  <c r="Y85" i="13"/>
  <c r="X85" i="13"/>
  <c r="W85" i="13"/>
  <c r="V85" i="13"/>
  <c r="U85" i="13"/>
  <c r="T85" i="13"/>
  <c r="S85" i="13"/>
  <c r="R85" i="13"/>
  <c r="Q85" i="13"/>
  <c r="P85" i="13"/>
  <c r="O85" i="13"/>
  <c r="N85" i="13"/>
  <c r="M85" i="13"/>
  <c r="L85" i="13"/>
  <c r="K85" i="13"/>
  <c r="J85" i="13"/>
  <c r="I85" i="13"/>
  <c r="H85" i="13"/>
  <c r="G85" i="13"/>
  <c r="F85" i="13"/>
  <c r="E85" i="13"/>
  <c r="D85" i="13"/>
  <c r="C85" i="13"/>
  <c r="B85" i="13"/>
  <c r="AP84" i="13"/>
  <c r="AO84" i="13"/>
  <c r="AN84" i="13"/>
  <c r="AM84" i="13"/>
  <c r="AL84" i="13"/>
  <c r="AK84" i="13"/>
  <c r="AJ84" i="13"/>
  <c r="AI84" i="13"/>
  <c r="AH84" i="13"/>
  <c r="AG84" i="13"/>
  <c r="AF84" i="13"/>
  <c r="AE84" i="13"/>
  <c r="AD84" i="13"/>
  <c r="AC84" i="13"/>
  <c r="AB84" i="13"/>
  <c r="AA84" i="13"/>
  <c r="Z84" i="13"/>
  <c r="Y84" i="13"/>
  <c r="X84" i="13"/>
  <c r="W84" i="13"/>
  <c r="V84" i="13"/>
  <c r="U84" i="13"/>
  <c r="T84" i="13"/>
  <c r="S84" i="13"/>
  <c r="R84" i="13"/>
  <c r="Q84" i="13"/>
  <c r="P84" i="13"/>
  <c r="O84" i="13"/>
  <c r="N84" i="13"/>
  <c r="M84" i="13"/>
  <c r="L84" i="13"/>
  <c r="K84" i="13"/>
  <c r="J84" i="13"/>
  <c r="I84" i="13"/>
  <c r="H84" i="13"/>
  <c r="G84" i="13"/>
  <c r="F84" i="13"/>
  <c r="E84" i="13"/>
  <c r="D84" i="13"/>
  <c r="C84" i="13"/>
  <c r="B84" i="13"/>
  <c r="AP83" i="13"/>
  <c r="AO83" i="13"/>
  <c r="AN83" i="13"/>
  <c r="AM83" i="13"/>
  <c r="AL83" i="13"/>
  <c r="AK83" i="13"/>
  <c r="AJ83" i="13"/>
  <c r="AI83" i="13"/>
  <c r="AH83" i="13"/>
  <c r="AG83" i="13"/>
  <c r="AF83" i="13"/>
  <c r="AE83" i="13"/>
  <c r="AD83" i="13"/>
  <c r="AC83" i="13"/>
  <c r="AB83" i="13"/>
  <c r="AA83" i="13"/>
  <c r="Z83" i="13"/>
  <c r="Y83" i="13"/>
  <c r="X83" i="13"/>
  <c r="W83" i="13"/>
  <c r="V83" i="13"/>
  <c r="U83" i="13"/>
  <c r="T83" i="13"/>
  <c r="S83" i="13"/>
  <c r="R83" i="13"/>
  <c r="Q83" i="13"/>
  <c r="P83" i="13"/>
  <c r="O83" i="13"/>
  <c r="N83" i="13"/>
  <c r="M83" i="13"/>
  <c r="L83" i="13"/>
  <c r="K83" i="13"/>
  <c r="J83" i="13"/>
  <c r="I83" i="13"/>
  <c r="H83" i="13"/>
  <c r="G83" i="13"/>
  <c r="F83" i="13"/>
  <c r="E83" i="13"/>
  <c r="D83" i="13"/>
  <c r="C83" i="13"/>
  <c r="B83" i="13"/>
  <c r="AP79" i="13"/>
  <c r="AO79" i="13"/>
  <c r="AN79" i="13"/>
  <c r="AM79" i="13"/>
  <c r="AL79" i="13"/>
  <c r="AK79" i="13"/>
  <c r="AJ79" i="13"/>
  <c r="AI79" i="13"/>
  <c r="AH79" i="13"/>
  <c r="AG79" i="13"/>
  <c r="AF79" i="13"/>
  <c r="AE79" i="13"/>
  <c r="AD79" i="13"/>
  <c r="AC79" i="13"/>
  <c r="AB79" i="13"/>
  <c r="AA79" i="13"/>
  <c r="Z79" i="13"/>
  <c r="Y79" i="13"/>
  <c r="X79" i="13"/>
  <c r="W79" i="13"/>
  <c r="V79" i="13"/>
  <c r="U79" i="13"/>
  <c r="T79" i="13"/>
  <c r="S79" i="13"/>
  <c r="R79" i="13"/>
  <c r="Q79" i="13"/>
  <c r="P79" i="13"/>
  <c r="O79" i="13"/>
  <c r="N79" i="13"/>
  <c r="M79" i="13"/>
  <c r="L79" i="13"/>
  <c r="K79" i="13"/>
  <c r="J79" i="13"/>
  <c r="I79" i="13"/>
  <c r="H79" i="13"/>
  <c r="G79" i="13"/>
  <c r="F79" i="13"/>
  <c r="E79" i="13"/>
  <c r="D79" i="13"/>
  <c r="C79" i="13"/>
  <c r="B79" i="13"/>
  <c r="AP78" i="13"/>
  <c r="AO78" i="13"/>
  <c r="AN78" i="13"/>
  <c r="AM78" i="13"/>
  <c r="AL78" i="13"/>
  <c r="AK78" i="13"/>
  <c r="AJ78" i="13"/>
  <c r="AI78" i="13"/>
  <c r="AH78" i="13"/>
  <c r="AG78" i="13"/>
  <c r="AF78" i="13"/>
  <c r="AE78" i="13"/>
  <c r="AD78" i="13"/>
  <c r="AC78" i="13"/>
  <c r="AB78" i="13"/>
  <c r="AA78" i="13"/>
  <c r="Z78" i="13"/>
  <c r="Y78" i="13"/>
  <c r="X78" i="13"/>
  <c r="W78" i="13"/>
  <c r="V78" i="13"/>
  <c r="U78" i="13"/>
  <c r="T78" i="13"/>
  <c r="S78" i="13"/>
  <c r="R78" i="13"/>
  <c r="Q78" i="13"/>
  <c r="P78" i="13"/>
  <c r="O78" i="13"/>
  <c r="N78" i="13"/>
  <c r="M78" i="13"/>
  <c r="L78" i="13"/>
  <c r="K78" i="13"/>
  <c r="J78" i="13"/>
  <c r="I78" i="13"/>
  <c r="H78" i="13"/>
  <c r="G78" i="13"/>
  <c r="F78" i="13"/>
  <c r="E78" i="13"/>
  <c r="D78" i="13"/>
  <c r="C78" i="13"/>
  <c r="B78" i="13"/>
  <c r="Z74" i="13"/>
  <c r="Y74" i="13"/>
  <c r="X74" i="13"/>
  <c r="W74" i="13"/>
  <c r="V74" i="13"/>
  <c r="U74" i="13"/>
  <c r="T74" i="13"/>
  <c r="R74" i="13"/>
  <c r="Q74" i="13"/>
  <c r="P74" i="13"/>
  <c r="O74" i="13"/>
  <c r="N74" i="13"/>
  <c r="M74" i="13"/>
  <c r="L74" i="13"/>
  <c r="K74" i="13"/>
  <c r="J74" i="13"/>
  <c r="I74" i="13"/>
  <c r="H74" i="13"/>
  <c r="G74" i="13"/>
  <c r="F74" i="13"/>
  <c r="E74" i="13"/>
  <c r="C74" i="13"/>
  <c r="B74" i="13"/>
  <c r="AP73" i="13"/>
  <c r="AO73" i="13"/>
  <c r="AN73" i="13"/>
  <c r="AM73" i="13"/>
  <c r="AL73" i="13"/>
  <c r="AK73" i="13"/>
  <c r="AJ73" i="13"/>
  <c r="AI73" i="13"/>
  <c r="AH73" i="13"/>
  <c r="AG73" i="13"/>
  <c r="AF73" i="13"/>
  <c r="AE73" i="13"/>
  <c r="AD73" i="13"/>
  <c r="AC73" i="13"/>
  <c r="AB73" i="13"/>
  <c r="AA73" i="13"/>
  <c r="Z73" i="13"/>
  <c r="Y73" i="13"/>
  <c r="X73" i="13"/>
  <c r="W73" i="13"/>
  <c r="V73" i="13"/>
  <c r="U73" i="13"/>
  <c r="T73" i="13"/>
  <c r="S73" i="13"/>
  <c r="R73" i="13"/>
  <c r="Q73" i="13"/>
  <c r="P73" i="13"/>
  <c r="O73" i="13"/>
  <c r="N73" i="13"/>
  <c r="M73" i="13"/>
  <c r="L73" i="13"/>
  <c r="K73" i="13"/>
  <c r="J73" i="13"/>
  <c r="I73" i="13"/>
  <c r="H73" i="13"/>
  <c r="G73" i="13"/>
  <c r="F73" i="13"/>
  <c r="E73" i="13"/>
  <c r="D73" i="13"/>
  <c r="C73" i="13"/>
  <c r="B73" i="13"/>
  <c r="AP96" i="13"/>
  <c r="AO62" i="13"/>
  <c r="AN62" i="13"/>
  <c r="AM62" i="13"/>
  <c r="AL62" i="13"/>
  <c r="AK62" i="13"/>
  <c r="AJ62" i="13"/>
  <c r="AI62" i="13"/>
  <c r="AH62" i="13"/>
  <c r="AG62" i="13"/>
  <c r="AF62" i="13"/>
  <c r="AE62" i="13"/>
  <c r="AD62" i="13"/>
  <c r="AC62" i="13"/>
  <c r="AB62" i="13"/>
  <c r="AA62" i="13"/>
  <c r="Z62" i="13"/>
  <c r="Y62" i="13"/>
  <c r="X62" i="13"/>
  <c r="W62" i="13"/>
  <c r="V62" i="13"/>
  <c r="U62" i="13"/>
  <c r="T62" i="13"/>
  <c r="S62" i="13"/>
  <c r="R62" i="13"/>
  <c r="Q62" i="13"/>
  <c r="P62" i="13"/>
  <c r="O62" i="13"/>
  <c r="N62" i="13"/>
  <c r="M62" i="13"/>
  <c r="L62" i="13"/>
  <c r="K62" i="13"/>
  <c r="J62" i="13"/>
  <c r="I62" i="13"/>
  <c r="H62" i="13"/>
  <c r="G62" i="13"/>
  <c r="F62" i="13"/>
  <c r="E62" i="13"/>
  <c r="D62" i="13"/>
  <c r="C62" i="13"/>
  <c r="B62" i="13"/>
  <c r="AP89" i="13"/>
  <c r="AO55" i="13"/>
  <c r="AN55" i="13"/>
  <c r="AM55" i="13"/>
  <c r="AL55" i="13"/>
  <c r="AK55" i="13"/>
  <c r="AJ55" i="13"/>
  <c r="AI55" i="13"/>
  <c r="AH55" i="13"/>
  <c r="AG55" i="13"/>
  <c r="AF55" i="13"/>
  <c r="AE55" i="13"/>
  <c r="AD55" i="13"/>
  <c r="AC55" i="13"/>
  <c r="AB55" i="13"/>
  <c r="AA55" i="13"/>
  <c r="Z55" i="13"/>
  <c r="Y55" i="13"/>
  <c r="X55" i="13"/>
  <c r="W55" i="13"/>
  <c r="V55" i="13"/>
  <c r="U55" i="13"/>
  <c r="T55" i="13"/>
  <c r="S55" i="13"/>
  <c r="R55" i="13"/>
  <c r="Q55" i="13"/>
  <c r="P55" i="13"/>
  <c r="O55" i="13"/>
  <c r="N55" i="13"/>
  <c r="M55" i="13"/>
  <c r="L55" i="13"/>
  <c r="K55" i="13"/>
  <c r="J55" i="13"/>
  <c r="I55" i="13"/>
  <c r="H55" i="13"/>
  <c r="G55" i="13"/>
  <c r="F55" i="13"/>
  <c r="E55" i="13"/>
  <c r="D55" i="13"/>
  <c r="C55" i="13"/>
  <c r="B55" i="13"/>
  <c r="AP80" i="13"/>
  <c r="AO46" i="13"/>
  <c r="AN46" i="13"/>
  <c r="AM46" i="13"/>
  <c r="AL46" i="13"/>
  <c r="AK46" i="13"/>
  <c r="AJ46" i="13"/>
  <c r="AI46" i="13"/>
  <c r="AH46" i="13"/>
  <c r="AG46" i="13"/>
  <c r="AF46" i="13"/>
  <c r="AE46" i="13"/>
  <c r="AD46" i="13"/>
  <c r="AC46" i="13"/>
  <c r="AB46" i="13"/>
  <c r="AA46" i="13"/>
  <c r="Z46" i="13"/>
  <c r="Y46" i="13"/>
  <c r="X46" i="13"/>
  <c r="W46" i="13"/>
  <c r="V46" i="13"/>
  <c r="U46" i="13"/>
  <c r="T46" i="13"/>
  <c r="S46" i="13"/>
  <c r="R46" i="13"/>
  <c r="Q46" i="13"/>
  <c r="P46" i="13"/>
  <c r="O46" i="13"/>
  <c r="N46" i="13"/>
  <c r="M46" i="13"/>
  <c r="L46" i="13"/>
  <c r="K46" i="13"/>
  <c r="J46" i="13"/>
  <c r="I46" i="13"/>
  <c r="H46" i="13"/>
  <c r="G46" i="13"/>
  <c r="F46" i="13"/>
  <c r="E46" i="13"/>
  <c r="D46" i="13"/>
  <c r="C46" i="13"/>
  <c r="B46" i="13"/>
  <c r="AO41" i="13"/>
  <c r="AN41" i="13"/>
  <c r="AM41" i="13"/>
  <c r="AL41" i="13"/>
  <c r="AK41" i="13"/>
  <c r="AJ41" i="13"/>
  <c r="AI41" i="13"/>
  <c r="AH41" i="13"/>
  <c r="AG41" i="13"/>
  <c r="AF41" i="13"/>
  <c r="AE41" i="13"/>
  <c r="AD41" i="13"/>
  <c r="AC41" i="13"/>
  <c r="AB41" i="13"/>
  <c r="AA41" i="13"/>
  <c r="Z41" i="13"/>
  <c r="Y41" i="13"/>
  <c r="X41" i="13"/>
  <c r="W41" i="13"/>
  <c r="V41" i="13"/>
  <c r="U41" i="13"/>
  <c r="T41" i="13"/>
  <c r="S41" i="13"/>
  <c r="R41" i="13"/>
  <c r="Q41" i="13"/>
  <c r="P41" i="13"/>
  <c r="O41" i="13"/>
  <c r="N41" i="13"/>
  <c r="M41" i="13"/>
  <c r="L41" i="13"/>
  <c r="K41" i="13"/>
  <c r="J41" i="13"/>
  <c r="I41" i="13"/>
  <c r="H41" i="13"/>
  <c r="G41" i="13"/>
  <c r="F41" i="13"/>
  <c r="C41" i="13"/>
  <c r="B41" i="13"/>
  <c r="AO28" i="13"/>
  <c r="AN28" i="13"/>
  <c r="AM28" i="13"/>
  <c r="AL28" i="13"/>
  <c r="AK28" i="13"/>
  <c r="AJ28" i="13"/>
  <c r="AI28" i="13"/>
  <c r="AH28" i="13"/>
  <c r="AG28" i="13"/>
  <c r="AF28" i="13"/>
  <c r="AE28" i="13"/>
  <c r="AD28" i="13"/>
  <c r="AC28" i="13"/>
  <c r="AB28" i="13"/>
  <c r="AA28" i="13"/>
  <c r="Z28" i="13"/>
  <c r="Y28" i="13"/>
  <c r="X28" i="13"/>
  <c r="W28" i="13"/>
  <c r="V28" i="13"/>
  <c r="U28" i="13"/>
  <c r="T28" i="13"/>
  <c r="S28" i="13"/>
  <c r="R28" i="13"/>
  <c r="Q28" i="13"/>
  <c r="P28" i="13"/>
  <c r="O28" i="13"/>
  <c r="N28" i="13"/>
  <c r="M28" i="13"/>
  <c r="L28" i="13"/>
  <c r="K28" i="13"/>
  <c r="J28" i="13"/>
  <c r="I28" i="13"/>
  <c r="H28" i="13"/>
  <c r="G28" i="13"/>
  <c r="F28" i="13"/>
  <c r="E28" i="13"/>
  <c r="D28" i="13"/>
  <c r="C28" i="13"/>
  <c r="B28" i="13"/>
  <c r="AO21" i="13"/>
  <c r="AN21" i="13"/>
  <c r="AM21" i="13"/>
  <c r="AL21" i="13"/>
  <c r="AK21" i="13"/>
  <c r="AJ21" i="13"/>
  <c r="AI21" i="13"/>
  <c r="AH21" i="13"/>
  <c r="AG21" i="13"/>
  <c r="AF21" i="13"/>
  <c r="AE21" i="13"/>
  <c r="AD21" i="13"/>
  <c r="AC21" i="13"/>
  <c r="AB21" i="13"/>
  <c r="AA21" i="13"/>
  <c r="Z21" i="13"/>
  <c r="Y21" i="13"/>
  <c r="X21" i="13"/>
  <c r="W21" i="13"/>
  <c r="V21" i="13"/>
  <c r="U21" i="13"/>
  <c r="T21" i="13"/>
  <c r="S21" i="13"/>
  <c r="R21" i="13"/>
  <c r="Q21" i="13"/>
  <c r="P21" i="13"/>
  <c r="O21" i="13"/>
  <c r="N21" i="13"/>
  <c r="M21" i="13"/>
  <c r="L21" i="13"/>
  <c r="K21" i="13"/>
  <c r="J21" i="13"/>
  <c r="I21" i="13"/>
  <c r="H21" i="13"/>
  <c r="G21" i="13"/>
  <c r="F21" i="13"/>
  <c r="E21" i="13"/>
  <c r="D21" i="13"/>
  <c r="C21" i="13"/>
  <c r="B21" i="13"/>
  <c r="AO12" i="13"/>
  <c r="AN12" i="13"/>
  <c r="AM12" i="13"/>
  <c r="AL12" i="13"/>
  <c r="AK12" i="13"/>
  <c r="AJ12" i="13"/>
  <c r="AI12" i="13"/>
  <c r="AH12" i="13"/>
  <c r="AG12" i="13"/>
  <c r="AF12" i="13"/>
  <c r="AE12" i="13"/>
  <c r="AD12" i="13"/>
  <c r="AC12" i="13"/>
  <c r="AB12" i="13"/>
  <c r="AA12" i="13"/>
  <c r="Z12" i="13"/>
  <c r="Y12" i="13"/>
  <c r="X12" i="13"/>
  <c r="W12" i="13"/>
  <c r="V12" i="13"/>
  <c r="U12" i="13"/>
  <c r="T12" i="13"/>
  <c r="S12" i="13"/>
  <c r="R12" i="13"/>
  <c r="Q12" i="13"/>
  <c r="P12" i="13"/>
  <c r="O12" i="13"/>
  <c r="N12" i="13"/>
  <c r="M12" i="13"/>
  <c r="L12" i="13"/>
  <c r="K12" i="13"/>
  <c r="J12" i="13"/>
  <c r="I12" i="13"/>
  <c r="H12" i="13"/>
  <c r="G12" i="13"/>
  <c r="F12" i="13"/>
  <c r="E12" i="13"/>
  <c r="D12" i="13"/>
  <c r="C12" i="13"/>
  <c r="B12" i="13"/>
  <c r="AO7" i="13"/>
  <c r="AN7" i="13"/>
  <c r="AM7" i="13"/>
  <c r="AL7" i="13"/>
  <c r="AK7" i="13"/>
  <c r="AJ7" i="13"/>
  <c r="AI7" i="13"/>
  <c r="AH7" i="13"/>
  <c r="AG7" i="13"/>
  <c r="AF7" i="13"/>
  <c r="AE7" i="13"/>
  <c r="AD7" i="13"/>
  <c r="AC7" i="13"/>
  <c r="AB7" i="13"/>
  <c r="AA7" i="13"/>
  <c r="Z7" i="13"/>
  <c r="Y7" i="13"/>
  <c r="X7" i="13"/>
  <c r="W7" i="13"/>
  <c r="V7" i="13"/>
  <c r="U7" i="13"/>
  <c r="T7" i="13"/>
  <c r="S7" i="13"/>
  <c r="R7" i="13"/>
  <c r="Q7" i="13"/>
  <c r="P7" i="13"/>
  <c r="O7" i="13"/>
  <c r="N7" i="13"/>
  <c r="M7" i="13"/>
  <c r="L7" i="13"/>
  <c r="K7" i="13"/>
  <c r="J7" i="13"/>
  <c r="I7" i="13"/>
  <c r="H7" i="13"/>
  <c r="G7" i="13"/>
  <c r="F7" i="13"/>
  <c r="E7" i="13"/>
  <c r="C7" i="13"/>
  <c r="B7" i="13"/>
  <c r="P48" i="10" l="1"/>
  <c r="H117" i="12"/>
  <c r="K160" i="9"/>
  <c r="L160" i="9"/>
  <c r="L228" i="9" s="1"/>
  <c r="R227" i="9"/>
  <c r="R235" i="9"/>
  <c r="U194" i="9"/>
  <c r="B38" i="11" s="1"/>
  <c r="R233" i="9"/>
  <c r="U214" i="9"/>
  <c r="B58" i="11" s="1"/>
  <c r="S58" i="9"/>
  <c r="H126" i="12"/>
  <c r="K125" i="12"/>
  <c r="O200" i="9"/>
  <c r="Q152" i="9"/>
  <c r="Q154" i="9"/>
  <c r="Q223" i="9"/>
  <c r="Q156" i="9"/>
  <c r="Q225" i="9"/>
  <c r="Q158" i="9"/>
  <c r="Q226" i="9" s="1"/>
  <c r="U41" i="9"/>
  <c r="S190" i="9"/>
  <c r="I89" i="13"/>
  <c r="U89" i="13"/>
  <c r="AG89" i="13"/>
  <c r="P96" i="13"/>
  <c r="E96" i="13"/>
  <c r="Q96" i="13"/>
  <c r="C89" i="13"/>
  <c r="O89" i="13"/>
  <c r="AA89" i="13"/>
  <c r="AM89" i="13"/>
  <c r="K96" i="13"/>
  <c r="W96" i="13"/>
  <c r="AI96" i="13"/>
  <c r="AH80" i="13"/>
  <c r="N75" i="13"/>
  <c r="V80" i="13"/>
  <c r="K80" i="13"/>
  <c r="W80" i="13"/>
  <c r="AI80" i="13"/>
  <c r="F89" i="13"/>
  <c r="R89" i="13"/>
  <c r="AD89" i="13"/>
  <c r="X80" i="13"/>
  <c r="G89" i="13"/>
  <c r="S89" i="13"/>
  <c r="AE89" i="13"/>
  <c r="N96" i="13"/>
  <c r="AL96" i="13"/>
  <c r="E75" i="13"/>
  <c r="Q75" i="13"/>
  <c r="M80" i="13"/>
  <c r="Y80" i="13"/>
  <c r="AK80" i="13"/>
  <c r="H89" i="13"/>
  <c r="T89" i="13"/>
  <c r="AF89" i="13"/>
  <c r="C96" i="13"/>
  <c r="O96" i="13"/>
  <c r="AA96" i="13"/>
  <c r="AM96" i="13"/>
  <c r="I116" i="8"/>
  <c r="I218" i="8" s="1"/>
  <c r="K117" i="8"/>
  <c r="K219" i="8" s="1"/>
  <c r="J118" i="8"/>
  <c r="J220" i="8" s="1"/>
  <c r="L118" i="8"/>
  <c r="L220" i="8" s="1"/>
  <c r="I80" i="13"/>
  <c r="U80" i="13"/>
  <c r="AG80" i="13"/>
  <c r="E89" i="13"/>
  <c r="Q89" i="13"/>
  <c r="AC89" i="13"/>
  <c r="AO89" i="13"/>
  <c r="AG134" i="13"/>
  <c r="M96" i="13"/>
  <c r="Y96" i="13"/>
  <c r="AK96" i="13"/>
  <c r="F210" i="12"/>
  <c r="O59" i="5"/>
  <c r="AN96" i="13"/>
  <c r="AO96" i="13"/>
  <c r="H59" i="5"/>
  <c r="P59" i="5"/>
  <c r="Q59" i="5"/>
  <c r="AK134" i="13"/>
  <c r="M89" i="13"/>
  <c r="Y89" i="13"/>
  <c r="AK89" i="13"/>
  <c r="B75" i="13"/>
  <c r="AA75" i="13"/>
  <c r="O75" i="13"/>
  <c r="AG75" i="13"/>
  <c r="U75" i="13"/>
  <c r="I75" i="13"/>
  <c r="E202" i="12"/>
  <c r="U19" i="9"/>
  <c r="J221" i="8"/>
  <c r="K223" i="8"/>
  <c r="L224" i="8"/>
  <c r="L225" i="8"/>
  <c r="G228" i="8"/>
  <c r="I223" i="8"/>
  <c r="G218" i="8"/>
  <c r="P218" i="8" s="1"/>
  <c r="G221" i="8"/>
  <c r="G222" i="8"/>
  <c r="O134" i="8"/>
  <c r="J190" i="12"/>
  <c r="J199" i="12"/>
  <c r="O13" i="7"/>
  <c r="O19" i="7"/>
  <c r="O25" i="7"/>
  <c r="O27" i="7"/>
  <c r="O10" i="7"/>
  <c r="O16" i="7"/>
  <c r="O22" i="7"/>
  <c r="D96" i="13"/>
  <c r="AB96" i="13"/>
  <c r="N80" i="13"/>
  <c r="Z75" i="13"/>
  <c r="J80" i="13"/>
  <c r="C75" i="13"/>
  <c r="L80" i="13"/>
  <c r="AJ80" i="13"/>
  <c r="B96" i="13"/>
  <c r="Z96" i="13"/>
  <c r="O51" i="7"/>
  <c r="F206" i="12"/>
  <c r="AM66" i="13"/>
  <c r="AI134" i="13"/>
  <c r="F75" i="13"/>
  <c r="R75" i="13"/>
  <c r="B80" i="13"/>
  <c r="Z80" i="13"/>
  <c r="AL80" i="13"/>
  <c r="D132" i="13"/>
  <c r="AH134" i="13"/>
  <c r="G75" i="13"/>
  <c r="S75" i="13"/>
  <c r="AE75" i="13"/>
  <c r="C80" i="13"/>
  <c r="O80" i="13"/>
  <c r="AA80" i="13"/>
  <c r="AM80" i="13"/>
  <c r="J89" i="13"/>
  <c r="V89" i="13"/>
  <c r="AH89" i="13"/>
  <c r="AN66" i="13"/>
  <c r="H75" i="13"/>
  <c r="T75" i="13"/>
  <c r="AF75" i="13"/>
  <c r="D80" i="13"/>
  <c r="P80" i="13"/>
  <c r="AB80" i="13"/>
  <c r="AN80" i="13"/>
  <c r="F96" i="13"/>
  <c r="R96" i="13"/>
  <c r="AD96" i="13"/>
  <c r="AB66" i="13"/>
  <c r="AJ32" i="13"/>
  <c r="X89" i="13"/>
  <c r="AJ89" i="13"/>
  <c r="AK32" i="13"/>
  <c r="H96" i="13"/>
  <c r="T96" i="13"/>
  <c r="AF96" i="13"/>
  <c r="N89" i="13"/>
  <c r="Z89" i="13"/>
  <c r="AL89" i="13"/>
  <c r="E224" i="12"/>
  <c r="C194" i="12"/>
  <c r="E194" i="12" s="1"/>
  <c r="F191" i="12"/>
  <c r="F194" i="12"/>
  <c r="F197" i="12"/>
  <c r="F200" i="12"/>
  <c r="J191" i="12"/>
  <c r="J194" i="12"/>
  <c r="J197" i="12"/>
  <c r="J200" i="12"/>
  <c r="E219" i="12"/>
  <c r="F201" i="12"/>
  <c r="F208" i="12"/>
  <c r="J208" i="12"/>
  <c r="C213" i="12"/>
  <c r="E213" i="12" s="1"/>
  <c r="F196" i="12"/>
  <c r="F199" i="12"/>
  <c r="J75" i="13"/>
  <c r="V75" i="13"/>
  <c r="F80" i="13"/>
  <c r="R80" i="13"/>
  <c r="AD80" i="13"/>
  <c r="AJ66" i="13"/>
  <c r="H80" i="13"/>
  <c r="T80" i="13"/>
  <c r="AF80" i="13"/>
  <c r="AB32" i="13"/>
  <c r="AN32" i="13"/>
  <c r="D89" i="13"/>
  <c r="P89" i="13"/>
  <c r="AB89" i="13"/>
  <c r="AN89" i="13"/>
  <c r="AL66" i="13"/>
  <c r="L96" i="13"/>
  <c r="X96" i="13"/>
  <c r="AJ96" i="13"/>
  <c r="F30" i="13"/>
  <c r="AB134" i="13"/>
  <c r="AC66" i="13"/>
  <c r="AO66" i="13"/>
  <c r="F132" i="13"/>
  <c r="AD134" i="13"/>
  <c r="AD32" i="13"/>
  <c r="AF134" i="13"/>
  <c r="L89" i="13"/>
  <c r="E80" i="13"/>
  <c r="Q80" i="13"/>
  <c r="AC80" i="13"/>
  <c r="AO80" i="13"/>
  <c r="O37" i="7"/>
  <c r="O43" i="7"/>
  <c r="O49" i="7"/>
  <c r="O11" i="7"/>
  <c r="O17" i="7"/>
  <c r="O23" i="7"/>
  <c r="O29" i="7"/>
  <c r="O35" i="7"/>
  <c r="O41" i="7"/>
  <c r="O47" i="7"/>
  <c r="O7" i="7"/>
  <c r="I224" i="8"/>
  <c r="I225" i="8"/>
  <c r="I226" i="8"/>
  <c r="Q226" i="8" s="1"/>
  <c r="I227" i="8"/>
  <c r="P189" i="8"/>
  <c r="T249" i="8"/>
  <c r="T255" i="8"/>
  <c r="G225" i="8"/>
  <c r="G226" i="8"/>
  <c r="G227" i="8"/>
  <c r="T177" i="8"/>
  <c r="T180" i="8"/>
  <c r="T183" i="8"/>
  <c r="R49" i="8"/>
  <c r="U49" i="8" s="1"/>
  <c r="D221" i="8"/>
  <c r="F224" i="8"/>
  <c r="F225" i="8"/>
  <c r="F226" i="8"/>
  <c r="F227" i="8"/>
  <c r="P190" i="8"/>
  <c r="T261" i="8"/>
  <c r="Q188" i="8"/>
  <c r="U7" i="8"/>
  <c r="U10" i="8"/>
  <c r="U13" i="8"/>
  <c r="U16" i="8"/>
  <c r="U19" i="8"/>
  <c r="U25" i="8"/>
  <c r="Q191" i="8"/>
  <c r="Q193" i="8"/>
  <c r="U29" i="8"/>
  <c r="T97" i="8"/>
  <c r="R190" i="8"/>
  <c r="R191" i="8"/>
  <c r="U9" i="8"/>
  <c r="U12" i="8"/>
  <c r="U15" i="8"/>
  <c r="U21" i="8"/>
  <c r="U28" i="8"/>
  <c r="U31" i="8"/>
  <c r="U41" i="8"/>
  <c r="U47" i="8"/>
  <c r="T95" i="8"/>
  <c r="U102" i="8"/>
  <c r="U17" i="8"/>
  <c r="T25" i="8"/>
  <c r="T29" i="8"/>
  <c r="I219" i="8"/>
  <c r="T15" i="8"/>
  <c r="T21" i="8"/>
  <c r="B222" i="8"/>
  <c r="U24" i="8"/>
  <c r="C223" i="8"/>
  <c r="R188" i="8"/>
  <c r="U43" i="8"/>
  <c r="U27" i="8"/>
  <c r="T7" i="8"/>
  <c r="T10" i="8"/>
  <c r="T13" i="8"/>
  <c r="Q185" i="8"/>
  <c r="O190" i="8"/>
  <c r="T204" i="8"/>
  <c r="T245" i="8"/>
  <c r="T257" i="8"/>
  <c r="T263" i="8"/>
  <c r="T269" i="8"/>
  <c r="S196" i="9"/>
  <c r="C226" i="9"/>
  <c r="O226" i="9" s="1"/>
  <c r="S10" i="9"/>
  <c r="P246" i="9"/>
  <c r="S211" i="9"/>
  <c r="S16" i="9"/>
  <c r="P238" i="9"/>
  <c r="P239" i="9"/>
  <c r="P240" i="9"/>
  <c r="P241" i="9"/>
  <c r="U49" i="9"/>
  <c r="E208" i="12"/>
  <c r="F216" i="12"/>
  <c r="O381" i="6"/>
  <c r="U6" i="8"/>
  <c r="U23" i="8"/>
  <c r="T56" i="8"/>
  <c r="T62" i="8"/>
  <c r="T68" i="8"/>
  <c r="T81" i="8"/>
  <c r="Q133" i="8"/>
  <c r="U143" i="8"/>
  <c r="U146" i="8"/>
  <c r="U149" i="8"/>
  <c r="U152" i="8"/>
  <c r="U155" i="8"/>
  <c r="U158" i="8"/>
  <c r="U161" i="8"/>
  <c r="U164" i="8"/>
  <c r="U167" i="8"/>
  <c r="U170" i="8"/>
  <c r="U177" i="8"/>
  <c r="U195" i="8"/>
  <c r="U198" i="8"/>
  <c r="T23" i="8"/>
  <c r="U26" i="8"/>
  <c r="R50" i="8"/>
  <c r="T51" i="8" s="1"/>
  <c r="U78" i="8"/>
  <c r="P191" i="8"/>
  <c r="P192" i="8"/>
  <c r="P193" i="8"/>
  <c r="P187" i="8"/>
  <c r="T94" i="8"/>
  <c r="U196" i="8"/>
  <c r="U199" i="8"/>
  <c r="U82" i="8"/>
  <c r="U88" i="8"/>
  <c r="M221" i="8"/>
  <c r="R221" i="8" s="1"/>
  <c r="Q186" i="8"/>
  <c r="T186" i="8" s="1"/>
  <c r="Q189" i="8"/>
  <c r="Q190" i="8"/>
  <c r="Q192" i="8"/>
  <c r="T19" i="8"/>
  <c r="T33" i="8"/>
  <c r="T49" i="8"/>
  <c r="O122" i="8"/>
  <c r="O123" i="8"/>
  <c r="O124" i="8"/>
  <c r="O125" i="8"/>
  <c r="O126" i="8"/>
  <c r="O127" i="8"/>
  <c r="O128" i="8"/>
  <c r="O129" i="8"/>
  <c r="O132" i="8"/>
  <c r="Q187" i="8"/>
  <c r="U11" i="8"/>
  <c r="T89" i="8"/>
  <c r="T103" i="8"/>
  <c r="R189" i="8"/>
  <c r="T11" i="8"/>
  <c r="U14" i="8"/>
  <c r="T27" i="8"/>
  <c r="U52" i="8"/>
  <c r="U55" i="8"/>
  <c r="U58" i="8"/>
  <c r="U61" i="8"/>
  <c r="U64" i="8"/>
  <c r="R186" i="8"/>
  <c r="R187" i="8"/>
  <c r="T17" i="8"/>
  <c r="T31" i="8"/>
  <c r="O192" i="8"/>
  <c r="O193" i="8"/>
  <c r="S34" i="9"/>
  <c r="I382" i="6"/>
  <c r="R440" i="5"/>
  <c r="S440" i="5"/>
  <c r="T273" i="8"/>
  <c r="U273" i="8"/>
  <c r="U67" i="8"/>
  <c r="U35" i="8"/>
  <c r="T35" i="8"/>
  <c r="U33" i="8"/>
  <c r="E227" i="12"/>
  <c r="L75" i="13"/>
  <c r="X75" i="13"/>
  <c r="D75" i="13"/>
  <c r="P75" i="13"/>
  <c r="AE66" i="13"/>
  <c r="K75" i="13"/>
  <c r="W75" i="13"/>
  <c r="S214" i="9"/>
  <c r="S202" i="9"/>
  <c r="S205" i="9"/>
  <c r="S208" i="9"/>
  <c r="R170" i="9"/>
  <c r="R172" i="9"/>
  <c r="R174" i="9"/>
  <c r="R243" i="9"/>
  <c r="R176" i="9"/>
  <c r="R245" i="9"/>
  <c r="R178" i="9"/>
  <c r="U136" i="9"/>
  <c r="U190" i="9"/>
  <c r="B34" i="11" s="1"/>
  <c r="U196" i="9"/>
  <c r="B40" i="11" s="1"/>
  <c r="U202" i="9"/>
  <c r="B46" i="11" s="1"/>
  <c r="U205" i="9"/>
  <c r="B49" i="11" s="1"/>
  <c r="U208" i="9"/>
  <c r="B52" i="11" s="1"/>
  <c r="U211" i="9"/>
  <c r="B55" i="11" s="1"/>
  <c r="B249" i="9"/>
  <c r="O249" i="9" s="1"/>
  <c r="O181" i="9"/>
  <c r="S181" i="9" s="1"/>
  <c r="S249" i="9" s="1"/>
  <c r="AH32" i="13"/>
  <c r="AI32" i="13"/>
  <c r="M75" i="13"/>
  <c r="Y75" i="13"/>
  <c r="AK66" i="13"/>
  <c r="G80" i="13"/>
  <c r="S80" i="13"/>
  <c r="AE80" i="13"/>
  <c r="G96" i="13"/>
  <c r="S96" i="13"/>
  <c r="AE96" i="13"/>
  <c r="AJ134" i="13"/>
  <c r="AG96" i="13"/>
  <c r="C132" i="13"/>
  <c r="AM134" i="13"/>
  <c r="U96" i="13"/>
  <c r="AL32" i="13"/>
  <c r="V96" i="13"/>
  <c r="AM32" i="13"/>
  <c r="AN134" i="13"/>
  <c r="I96" i="13"/>
  <c r="AH96" i="13"/>
  <c r="D30" i="13"/>
  <c r="AD66" i="13"/>
  <c r="AP100" i="13"/>
  <c r="E132" i="13"/>
  <c r="AC134" i="13"/>
  <c r="AO134" i="13"/>
  <c r="B89" i="13"/>
  <c r="B30" i="13"/>
  <c r="C30" i="13"/>
  <c r="E30" i="13"/>
  <c r="AC32" i="13"/>
  <c r="AO32" i="13"/>
  <c r="J96" i="13"/>
  <c r="AF66" i="13"/>
  <c r="AE134" i="13"/>
  <c r="AE32" i="13"/>
  <c r="AG66" i="13"/>
  <c r="AL134" i="13"/>
  <c r="AF32" i="13"/>
  <c r="AH66" i="13"/>
  <c r="AC96" i="13"/>
  <c r="B132" i="13"/>
  <c r="AG32" i="13"/>
  <c r="AI66" i="13"/>
  <c r="K89" i="13"/>
  <c r="W89" i="13"/>
  <c r="AI89" i="13"/>
  <c r="M374" i="6"/>
  <c r="T440" i="5"/>
  <c r="U440" i="5"/>
  <c r="O374" i="6"/>
  <c r="N382" i="6"/>
  <c r="M370" i="6"/>
  <c r="C198" i="12"/>
  <c r="E198" i="12" s="1"/>
  <c r="C201" i="12"/>
  <c r="E201" i="12" s="1"/>
  <c r="F202" i="12"/>
  <c r="F219" i="12"/>
  <c r="E223" i="12"/>
  <c r="F220" i="12"/>
  <c r="F222" i="12"/>
  <c r="E209" i="12"/>
  <c r="F217" i="12"/>
  <c r="E225" i="12"/>
  <c r="E217" i="12"/>
  <c r="E69" i="12"/>
  <c r="J202" i="12"/>
  <c r="J227" i="12"/>
  <c r="J206" i="12"/>
  <c r="F212" i="12"/>
  <c r="J217" i="12"/>
  <c r="E220" i="12"/>
  <c r="E222" i="12"/>
  <c r="J212" i="12"/>
  <c r="J215" i="12"/>
  <c r="F207" i="12"/>
  <c r="E216" i="12"/>
  <c r="F224" i="12"/>
  <c r="F88" i="12"/>
  <c r="F192" i="12"/>
  <c r="F195" i="12"/>
  <c r="J207" i="12"/>
  <c r="F213" i="12"/>
  <c r="J223" i="12"/>
  <c r="J195" i="12"/>
  <c r="J198" i="12"/>
  <c r="J213" i="12"/>
  <c r="J218" i="12"/>
  <c r="J201" i="12"/>
  <c r="D225" i="12"/>
  <c r="F225" i="12" s="1"/>
  <c r="J216" i="12"/>
  <c r="F190" i="12"/>
  <c r="F193" i="12"/>
  <c r="J222" i="12"/>
  <c r="E18" i="12"/>
  <c r="C196" i="12"/>
  <c r="E196" i="12" s="1"/>
  <c r="C210" i="12"/>
  <c r="E210" i="12" s="1"/>
  <c r="J44" i="12"/>
  <c r="E30" i="12"/>
  <c r="C191" i="12"/>
  <c r="E191" i="12" s="1"/>
  <c r="F48" i="12"/>
  <c r="F42" i="12"/>
  <c r="E14" i="12"/>
  <c r="J45" i="12"/>
  <c r="J48" i="12"/>
  <c r="C189" i="12"/>
  <c r="E189" i="12" s="1"/>
  <c r="C192" i="12"/>
  <c r="E192" i="12" s="1"/>
  <c r="C200" i="12"/>
  <c r="E200" i="12" s="1"/>
  <c r="C214" i="12"/>
  <c r="E214" i="12" s="1"/>
  <c r="J193" i="12"/>
  <c r="E218" i="12"/>
  <c r="F163" i="12"/>
  <c r="F218" i="12"/>
  <c r="J196" i="12"/>
  <c r="F223" i="12"/>
  <c r="J220" i="12"/>
  <c r="C212" i="12"/>
  <c r="E212" i="12" s="1"/>
  <c r="F211" i="12"/>
  <c r="F214" i="12"/>
  <c r="C193" i="12"/>
  <c r="E193" i="12" s="1"/>
  <c r="E13" i="12"/>
  <c r="F189" i="12"/>
  <c r="C195" i="12"/>
  <c r="E195" i="12" s="1"/>
  <c r="J189" i="12"/>
  <c r="J192" i="12"/>
  <c r="F198" i="12"/>
  <c r="F215" i="12"/>
  <c r="F227" i="12"/>
  <c r="P440" i="5"/>
  <c r="Q440" i="5"/>
  <c r="H15" i="11"/>
  <c r="F15" i="11"/>
  <c r="H8" i="11"/>
  <c r="F8" i="11"/>
  <c r="H23" i="11"/>
  <c r="G15" i="11"/>
  <c r="D9" i="11"/>
  <c r="H9" i="11" s="1"/>
  <c r="H26" i="11"/>
  <c r="G12" i="11"/>
  <c r="D13" i="11"/>
  <c r="H13" i="11" s="1"/>
  <c r="H20" i="11"/>
  <c r="H29" i="11"/>
  <c r="V439" i="5"/>
  <c r="O380" i="6"/>
  <c r="O76" i="6"/>
  <c r="N377" i="6"/>
  <c r="N378" i="6" s="1"/>
  <c r="O378" i="6" s="1"/>
  <c r="O99" i="6"/>
  <c r="O379" i="6"/>
  <c r="O32" i="6"/>
  <c r="O15" i="6"/>
  <c r="I96" i="6"/>
  <c r="O69" i="6"/>
  <c r="O83" i="6"/>
  <c r="I34" i="6"/>
  <c r="I60" i="6"/>
  <c r="M120" i="6"/>
  <c r="O72" i="6"/>
  <c r="O372" i="6"/>
  <c r="I124" i="6"/>
  <c r="O108" i="6"/>
  <c r="I128" i="6"/>
  <c r="O51" i="6"/>
  <c r="O123" i="6"/>
  <c r="O68" i="6"/>
  <c r="O82" i="6"/>
  <c r="O91" i="6"/>
  <c r="O216" i="8"/>
  <c r="T195" i="8"/>
  <c r="T259" i="8"/>
  <c r="U201" i="8"/>
  <c r="U204" i="8"/>
  <c r="U245" i="8"/>
  <c r="U257" i="8"/>
  <c r="T199" i="8"/>
  <c r="T251" i="8"/>
  <c r="R237" i="8"/>
  <c r="U184" i="8"/>
  <c r="U249" i="8"/>
  <c r="U261" i="8"/>
  <c r="U205" i="8"/>
  <c r="T145" i="8"/>
  <c r="T148" i="8"/>
  <c r="T151" i="8"/>
  <c r="T154" i="8"/>
  <c r="T157" i="8"/>
  <c r="T160" i="8"/>
  <c r="T163" i="8"/>
  <c r="T166" i="8"/>
  <c r="T169" i="8"/>
  <c r="T179" i="8"/>
  <c r="T182" i="8"/>
  <c r="T267" i="8"/>
  <c r="U142" i="8"/>
  <c r="U145" i="8"/>
  <c r="U148" i="8"/>
  <c r="U151" i="8"/>
  <c r="U154" i="8"/>
  <c r="U157" i="8"/>
  <c r="U160" i="8"/>
  <c r="U163" i="8"/>
  <c r="U166" i="8"/>
  <c r="U169" i="8"/>
  <c r="U176" i="8"/>
  <c r="U179" i="8"/>
  <c r="U182" i="8"/>
  <c r="T203" i="8"/>
  <c r="T247" i="8"/>
  <c r="T253" i="8"/>
  <c r="T265" i="8"/>
  <c r="T271" i="8"/>
  <c r="U197" i="8"/>
  <c r="U200" i="8"/>
  <c r="U203" i="8"/>
  <c r="U244" i="8"/>
  <c r="U253" i="8"/>
  <c r="U265" i="8"/>
  <c r="U271" i="8"/>
  <c r="R211" i="8"/>
  <c r="R213" i="8"/>
  <c r="U75" i="8"/>
  <c r="T93" i="8"/>
  <c r="T96" i="8"/>
  <c r="Q125" i="8"/>
  <c r="U90" i="8"/>
  <c r="U96" i="8"/>
  <c r="T99" i="8"/>
  <c r="T102" i="8"/>
  <c r="T87" i="8"/>
  <c r="T85" i="8"/>
  <c r="T88" i="8"/>
  <c r="U99" i="8"/>
  <c r="R223" i="8"/>
  <c r="R235" i="8"/>
  <c r="T91" i="8"/>
  <c r="T79" i="8"/>
  <c r="U94" i="8"/>
  <c r="T77" i="8"/>
  <c r="T80" i="8"/>
  <c r="U91" i="8"/>
  <c r="O133" i="8"/>
  <c r="U74" i="8"/>
  <c r="U80" i="8"/>
  <c r="T83" i="8"/>
  <c r="U86" i="8"/>
  <c r="U83" i="8"/>
  <c r="T101" i="8"/>
  <c r="T75" i="8"/>
  <c r="U98" i="8"/>
  <c r="O210" i="8"/>
  <c r="Q236" i="8"/>
  <c r="Q111" i="8"/>
  <c r="Q115" i="8"/>
  <c r="Q117" i="8"/>
  <c r="H227" i="8"/>
  <c r="B228" i="8"/>
  <c r="O228" i="8" s="1"/>
  <c r="R121" i="8"/>
  <c r="R123" i="8"/>
  <c r="G223" i="8"/>
  <c r="P108" i="8"/>
  <c r="B234" i="8"/>
  <c r="O234" i="8" s="1"/>
  <c r="T45" i="8"/>
  <c r="U53" i="8"/>
  <c r="U56" i="8"/>
  <c r="O220" i="8"/>
  <c r="U42" i="8"/>
  <c r="U45" i="8"/>
  <c r="O212" i="8"/>
  <c r="O214" i="8"/>
  <c r="R115" i="8"/>
  <c r="Q137" i="8"/>
  <c r="O116" i="8"/>
  <c r="P230" i="8"/>
  <c r="P232" i="8"/>
  <c r="T54" i="8"/>
  <c r="T60" i="8"/>
  <c r="T66" i="8"/>
  <c r="P220" i="8"/>
  <c r="U40" i="8"/>
  <c r="T43" i="8"/>
  <c r="Q224" i="8"/>
  <c r="Q123" i="8"/>
  <c r="P136" i="8"/>
  <c r="V437" i="5"/>
  <c r="V438" i="5"/>
  <c r="M30" i="6"/>
  <c r="M48" i="6"/>
  <c r="O85" i="6"/>
  <c r="O94" i="6"/>
  <c r="O118" i="6"/>
  <c r="O107" i="6"/>
  <c r="I24" i="6"/>
  <c r="I52" i="6"/>
  <c r="I78" i="6"/>
  <c r="N124" i="6"/>
  <c r="N66" i="6"/>
  <c r="I16" i="6"/>
  <c r="N16" i="6"/>
  <c r="O36" i="6"/>
  <c r="O109" i="6"/>
  <c r="I30" i="6"/>
  <c r="I56" i="6"/>
  <c r="O90" i="6"/>
  <c r="O10" i="6"/>
  <c r="O46" i="6"/>
  <c r="O104" i="6"/>
  <c r="O126" i="6"/>
  <c r="O35" i="6"/>
  <c r="O47" i="6"/>
  <c r="O58" i="6"/>
  <c r="O59" i="6"/>
  <c r="O87" i="6"/>
  <c r="I66" i="6"/>
  <c r="I92" i="6"/>
  <c r="I114" i="6"/>
  <c r="O18" i="6"/>
  <c r="O54" i="6"/>
  <c r="O103" i="6"/>
  <c r="O64" i="6"/>
  <c r="M110" i="6"/>
  <c r="O14" i="6"/>
  <c r="I38" i="6"/>
  <c r="N92" i="6"/>
  <c r="N102" i="6"/>
  <c r="I110" i="6"/>
  <c r="M24" i="6"/>
  <c r="I70" i="6"/>
  <c r="O77" i="6"/>
  <c r="I84" i="6"/>
  <c r="O100" i="6"/>
  <c r="O23" i="6"/>
  <c r="N52" i="6"/>
  <c r="M56" i="6"/>
  <c r="N60" i="6"/>
  <c r="N84" i="6"/>
  <c r="O119" i="6"/>
  <c r="O17" i="6"/>
  <c r="O37" i="6"/>
  <c r="O50" i="6"/>
  <c r="O101" i="6"/>
  <c r="M128" i="6"/>
  <c r="N20" i="6"/>
  <c r="O28" i="6"/>
  <c r="I42" i="6"/>
  <c r="O122" i="6"/>
  <c r="I12" i="6"/>
  <c r="I74" i="6"/>
  <c r="N96" i="6"/>
  <c r="N106" i="6"/>
  <c r="I106" i="6"/>
  <c r="N12" i="6"/>
  <c r="M20" i="6"/>
  <c r="M74" i="6"/>
  <c r="O93" i="6"/>
  <c r="N34" i="6"/>
  <c r="N88" i="6"/>
  <c r="O19" i="6"/>
  <c r="I48" i="6"/>
  <c r="M52" i="6"/>
  <c r="O86" i="6"/>
  <c r="O105" i="6"/>
  <c r="I120" i="6"/>
  <c r="M124" i="6"/>
  <c r="O11" i="6"/>
  <c r="O73" i="6"/>
  <c r="O95" i="6"/>
  <c r="R125" i="8"/>
  <c r="U77" i="8"/>
  <c r="U85" i="8"/>
  <c r="U93" i="8"/>
  <c r="U101" i="8"/>
  <c r="F221" i="8"/>
  <c r="E222" i="8"/>
  <c r="D224" i="8"/>
  <c r="D225" i="8"/>
  <c r="C226" i="8"/>
  <c r="C227" i="8"/>
  <c r="R127" i="8"/>
  <c r="P239" i="8"/>
  <c r="C225" i="8"/>
  <c r="F222" i="8"/>
  <c r="F223" i="8"/>
  <c r="E224" i="8"/>
  <c r="P224" i="8" s="1"/>
  <c r="D226" i="8"/>
  <c r="D227" i="8"/>
  <c r="R129" i="8"/>
  <c r="P188" i="8"/>
  <c r="U59" i="8"/>
  <c r="U62" i="8"/>
  <c r="U65" i="8"/>
  <c r="U68" i="8"/>
  <c r="T78" i="8"/>
  <c r="T86" i="8"/>
  <c r="R212" i="8"/>
  <c r="Q214" i="8"/>
  <c r="Q113" i="8"/>
  <c r="Q119" i="8"/>
  <c r="O130" i="8"/>
  <c r="O131" i="8"/>
  <c r="R131" i="8"/>
  <c r="T143" i="8"/>
  <c r="T146" i="8"/>
  <c r="T149" i="8"/>
  <c r="T152" i="8"/>
  <c r="T155" i="8"/>
  <c r="T158" i="8"/>
  <c r="T161" i="8"/>
  <c r="T164" i="8"/>
  <c r="T167" i="8"/>
  <c r="T170" i="8"/>
  <c r="T201" i="8"/>
  <c r="H217" i="8"/>
  <c r="Q217" i="8" s="1"/>
  <c r="B224" i="8"/>
  <c r="U247" i="8"/>
  <c r="U255" i="8"/>
  <c r="U263" i="8"/>
  <c r="Q109" i="8"/>
  <c r="H220" i="8"/>
  <c r="Q121" i="8"/>
  <c r="P228" i="8"/>
  <c r="T196" i="8"/>
  <c r="B218" i="8"/>
  <c r="O218" i="8" s="1"/>
  <c r="B230" i="8"/>
  <c r="O230" i="8" s="1"/>
  <c r="H235" i="8"/>
  <c r="Q235" i="8" s="1"/>
  <c r="T8" i="8"/>
  <c r="U22" i="8"/>
  <c r="U34" i="8"/>
  <c r="P210" i="8"/>
  <c r="R109" i="8"/>
  <c r="P185" i="8"/>
  <c r="B236" i="8"/>
  <c r="O236" i="8" s="1"/>
  <c r="T41" i="8"/>
  <c r="U46" i="8"/>
  <c r="T76" i="8"/>
  <c r="T84" i="8"/>
  <c r="T92" i="8"/>
  <c r="T100" i="8"/>
  <c r="P110" i="8"/>
  <c r="K118" i="8"/>
  <c r="R133" i="8"/>
  <c r="H213" i="8"/>
  <c r="Q213" i="8" s="1"/>
  <c r="U269" i="8"/>
  <c r="U20" i="8"/>
  <c r="U32" i="8"/>
  <c r="U51" i="8"/>
  <c r="U54" i="8"/>
  <c r="U57" i="8"/>
  <c r="U60" i="8"/>
  <c r="U63" i="8"/>
  <c r="U66" i="8"/>
  <c r="U69" i="8"/>
  <c r="U81" i="8"/>
  <c r="U89" i="8"/>
  <c r="U97" i="8"/>
  <c r="Q127" i="8"/>
  <c r="T144" i="8"/>
  <c r="T150" i="8"/>
  <c r="T156" i="8"/>
  <c r="T162" i="8"/>
  <c r="T168" i="8"/>
  <c r="T178" i="8"/>
  <c r="H225" i="8"/>
  <c r="C224" i="8"/>
  <c r="U8" i="8"/>
  <c r="U76" i="8"/>
  <c r="U84" i="8"/>
  <c r="U92" i="8"/>
  <c r="U100" i="8"/>
  <c r="R111" i="8"/>
  <c r="R225" i="8"/>
  <c r="Q230" i="8"/>
  <c r="Q129" i="8"/>
  <c r="P135" i="8"/>
  <c r="U144" i="8"/>
  <c r="U150" i="8"/>
  <c r="U156" i="8"/>
  <c r="U162" i="8"/>
  <c r="U168" i="8"/>
  <c r="B226" i="8"/>
  <c r="B232" i="8"/>
  <c r="O232" i="8" s="1"/>
  <c r="R210" i="8"/>
  <c r="D222" i="8"/>
  <c r="O222" i="8" s="1"/>
  <c r="U18" i="8"/>
  <c r="U30" i="8"/>
  <c r="U44" i="8"/>
  <c r="T47" i="8"/>
  <c r="T82" i="8"/>
  <c r="T90" i="8"/>
  <c r="T98" i="8"/>
  <c r="P212" i="8"/>
  <c r="O112" i="8"/>
  <c r="O113" i="8"/>
  <c r="R113" i="8"/>
  <c r="R117" i="8"/>
  <c r="O119" i="8"/>
  <c r="R119" i="8"/>
  <c r="R227" i="8"/>
  <c r="Q131" i="8"/>
  <c r="Q135" i="8"/>
  <c r="U178" i="8"/>
  <c r="T184" i="8"/>
  <c r="O188" i="8"/>
  <c r="T197" i="8"/>
  <c r="U202" i="8"/>
  <c r="T205" i="8"/>
  <c r="U251" i="8"/>
  <c r="U259" i="8"/>
  <c r="U267" i="8"/>
  <c r="T52" i="8"/>
  <c r="T58" i="8"/>
  <c r="T64" i="8"/>
  <c r="U79" i="8"/>
  <c r="U87" i="8"/>
  <c r="U95" i="8"/>
  <c r="U103" i="8"/>
  <c r="Q211" i="8"/>
  <c r="O114" i="8"/>
  <c r="O115" i="8"/>
  <c r="O117" i="8"/>
  <c r="O118" i="8"/>
  <c r="O120" i="8"/>
  <c r="O121" i="8"/>
  <c r="P134" i="8"/>
  <c r="O136" i="8"/>
  <c r="P137" i="8"/>
  <c r="O191" i="8"/>
  <c r="H215" i="8"/>
  <c r="Q215" i="8" s="1"/>
  <c r="H221" i="8"/>
  <c r="Q221" i="8" s="1"/>
  <c r="B238" i="8"/>
  <c r="O238" i="8" s="1"/>
  <c r="U75" i="9"/>
  <c r="U110" i="9"/>
  <c r="S143" i="9"/>
  <c r="O151" i="9"/>
  <c r="O220" i="9"/>
  <c r="O153" i="9"/>
  <c r="O222" i="9"/>
  <c r="O223" i="9"/>
  <c r="O225" i="9"/>
  <c r="O159" i="9"/>
  <c r="O228" i="9"/>
  <c r="P229" i="9"/>
  <c r="P230" i="9"/>
  <c r="P231" i="9"/>
  <c r="P234" i="9"/>
  <c r="P235" i="9"/>
  <c r="P236" i="9"/>
  <c r="P237" i="9"/>
  <c r="U115" i="9"/>
  <c r="U127" i="9"/>
  <c r="U82" i="9"/>
  <c r="U144" i="9"/>
  <c r="U97" i="9"/>
  <c r="U146" i="9"/>
  <c r="U109" i="9"/>
  <c r="U94" i="9"/>
  <c r="U67" i="9"/>
  <c r="U33" i="9"/>
  <c r="U61" i="9"/>
  <c r="U91" i="9"/>
  <c r="U80" i="9"/>
  <c r="U59" i="9"/>
  <c r="U123" i="9"/>
  <c r="U142" i="9"/>
  <c r="U65" i="9"/>
  <c r="S145" i="9"/>
  <c r="U48" i="9"/>
  <c r="U53" i="9"/>
  <c r="U68" i="9"/>
  <c r="U69" i="9"/>
  <c r="U64" i="9"/>
  <c r="U78" i="9"/>
  <c r="S144" i="9"/>
  <c r="U20" i="9"/>
  <c r="U52" i="9"/>
  <c r="U62" i="9"/>
  <c r="S136" i="9"/>
  <c r="U46" i="9"/>
  <c r="S14" i="9"/>
  <c r="U51" i="9"/>
  <c r="U56" i="9"/>
  <c r="U63" i="9"/>
  <c r="Q228" i="9"/>
  <c r="R168" i="9"/>
  <c r="S24" i="9"/>
  <c r="S30" i="9"/>
  <c r="U81" i="9"/>
  <c r="U93" i="9"/>
  <c r="U143" i="9"/>
  <c r="S9" i="9"/>
  <c r="S15" i="9"/>
  <c r="S140" i="9"/>
  <c r="O238" i="9"/>
  <c r="O239" i="9"/>
  <c r="O241" i="9"/>
  <c r="O242" i="9"/>
  <c r="O175" i="9"/>
  <c r="O244" i="9"/>
  <c r="O248" i="9"/>
  <c r="S185" i="9"/>
  <c r="S188" i="9"/>
  <c r="S194" i="9"/>
  <c r="S200" i="9"/>
  <c r="S203" i="9"/>
  <c r="S206" i="9"/>
  <c r="S209" i="9"/>
  <c r="S212" i="9"/>
  <c r="U47" i="9"/>
  <c r="U122" i="9"/>
  <c r="U149" i="9"/>
  <c r="R219" i="9"/>
  <c r="R152" i="9"/>
  <c r="R221" i="9"/>
  <c r="R154" i="9"/>
  <c r="R156" i="9"/>
  <c r="R158" i="9"/>
  <c r="O229" i="9"/>
  <c r="O231" i="9"/>
  <c r="O233" i="9"/>
  <c r="O234" i="9"/>
  <c r="O167" i="9"/>
  <c r="O236" i="9"/>
  <c r="O237" i="9"/>
  <c r="S12" i="9"/>
  <c r="S18" i="9"/>
  <c r="S33" i="9"/>
  <c r="U60" i="9"/>
  <c r="U89" i="9"/>
  <c r="U101" i="9"/>
  <c r="U120" i="9"/>
  <c r="U132" i="9"/>
  <c r="S135" i="9"/>
  <c r="S137" i="9"/>
  <c r="O169" i="9"/>
  <c r="U7" i="9"/>
  <c r="U10" i="9"/>
  <c r="U13" i="9"/>
  <c r="U16" i="9"/>
  <c r="U92" i="9"/>
  <c r="U113" i="9"/>
  <c r="U125" i="9"/>
  <c r="S138" i="9"/>
  <c r="U141" i="9"/>
  <c r="S146" i="9"/>
  <c r="O177" i="9"/>
  <c r="Q177" i="9"/>
  <c r="R180" i="9"/>
  <c r="S7" i="9"/>
  <c r="S13" i="9"/>
  <c r="S19" i="9"/>
  <c r="U87" i="9"/>
  <c r="U99" i="9"/>
  <c r="U118" i="9"/>
  <c r="U130" i="9"/>
  <c r="U140" i="9"/>
  <c r="Q179" i="9"/>
  <c r="S25" i="9"/>
  <c r="S31" i="9"/>
  <c r="U34" i="9"/>
  <c r="S49" i="9"/>
  <c r="U90" i="9"/>
  <c r="U102" i="9"/>
  <c r="S141" i="9"/>
  <c r="R179" i="9"/>
  <c r="U200" i="9"/>
  <c r="B44" i="11" s="1"/>
  <c r="U203" i="9"/>
  <c r="B47" i="11" s="1"/>
  <c r="U206" i="9"/>
  <c r="B50" i="11" s="1"/>
  <c r="U209" i="9"/>
  <c r="B53" i="11" s="1"/>
  <c r="U212" i="9"/>
  <c r="B56" i="11" s="1"/>
  <c r="U54" i="9"/>
  <c r="U76" i="9"/>
  <c r="U85" i="9"/>
  <c r="U116" i="9"/>
  <c r="U128" i="9"/>
  <c r="U139" i="9"/>
  <c r="U147" i="9"/>
  <c r="B219" i="9"/>
  <c r="O219" i="9" s="1"/>
  <c r="S32" i="9"/>
  <c r="U8" i="9"/>
  <c r="U11" i="9"/>
  <c r="U14" i="9"/>
  <c r="U17" i="9"/>
  <c r="U23" i="9"/>
  <c r="S28" i="9"/>
  <c r="U88" i="9"/>
  <c r="U100" i="9"/>
  <c r="U121" i="9"/>
  <c r="U133" i="9"/>
  <c r="U138" i="9"/>
  <c r="P247" i="9"/>
  <c r="R247" i="9"/>
  <c r="S11" i="9"/>
  <c r="S17" i="9"/>
  <c r="S23" i="9"/>
  <c r="U26" i="9"/>
  <c r="U42" i="9"/>
  <c r="U83" i="9"/>
  <c r="U95" i="9"/>
  <c r="U114" i="9"/>
  <c r="U126" i="9"/>
  <c r="S139" i="9"/>
  <c r="S6" i="9"/>
  <c r="S26" i="9"/>
  <c r="U35" i="9"/>
  <c r="U79" i="9"/>
  <c r="U86" i="9"/>
  <c r="U98" i="9"/>
  <c r="U119" i="9"/>
  <c r="U131" i="9"/>
  <c r="U137" i="9"/>
  <c r="S142" i="9"/>
  <c r="U145" i="9"/>
  <c r="P222" i="9"/>
  <c r="P223" i="9"/>
  <c r="P224" i="9"/>
  <c r="P225" i="9"/>
  <c r="P228" i="9"/>
  <c r="Q229" i="9"/>
  <c r="Q162" i="9"/>
  <c r="Q231" i="9"/>
  <c r="Q164" i="9"/>
  <c r="Q166" i="9"/>
  <c r="Q168" i="9"/>
  <c r="Q170" i="9"/>
  <c r="Q172" i="9"/>
  <c r="Q241" i="9"/>
  <c r="Q174" i="9"/>
  <c r="Q243" i="9"/>
  <c r="Q176" i="9"/>
  <c r="P248" i="9"/>
  <c r="U186" i="9"/>
  <c r="B30" i="11" s="1"/>
  <c r="U192" i="9"/>
  <c r="B36" i="11" s="1"/>
  <c r="U198" i="9"/>
  <c r="B42" i="11" s="1"/>
  <c r="U201" i="9"/>
  <c r="B45" i="11" s="1"/>
  <c r="U204" i="9"/>
  <c r="B48" i="11" s="1"/>
  <c r="U207" i="9"/>
  <c r="B51" i="11" s="1"/>
  <c r="U210" i="9"/>
  <c r="B54" i="11" s="1"/>
  <c r="U213" i="9"/>
  <c r="B57" i="11" s="1"/>
  <c r="S8" i="9"/>
  <c r="U21" i="9"/>
  <c r="S35" i="9"/>
  <c r="U112" i="9"/>
  <c r="U124" i="9"/>
  <c r="Q178" i="9"/>
  <c r="Q247" i="9"/>
  <c r="S186" i="9"/>
  <c r="S192" i="9"/>
  <c r="S198" i="9"/>
  <c r="S201" i="9"/>
  <c r="S204" i="9"/>
  <c r="S207" i="9"/>
  <c r="S210" i="9"/>
  <c r="S213" i="9"/>
  <c r="S21" i="9"/>
  <c r="U9" i="9"/>
  <c r="U12" i="9"/>
  <c r="U15" i="9"/>
  <c r="U18" i="9"/>
  <c r="U24" i="9"/>
  <c r="U45" i="9"/>
  <c r="U55" i="9"/>
  <c r="U66" i="9"/>
  <c r="U84" i="9"/>
  <c r="U96" i="9"/>
  <c r="U103" i="9"/>
  <c r="U117" i="9"/>
  <c r="U129" i="9"/>
  <c r="U148" i="9"/>
  <c r="R237" i="9"/>
  <c r="C230" i="12"/>
  <c r="E230" i="12" s="1"/>
  <c r="J230" i="12"/>
  <c r="F230" i="12"/>
  <c r="N70" i="6"/>
  <c r="O67" i="6"/>
  <c r="N42" i="6"/>
  <c r="O39" i="6"/>
  <c r="N114" i="6"/>
  <c r="O111" i="6"/>
  <c r="O31" i="6"/>
  <c r="O40" i="6"/>
  <c r="O112" i="6"/>
  <c r="O41" i="6"/>
  <c r="O63" i="6"/>
  <c r="O113" i="6"/>
  <c r="N24" i="6"/>
  <c r="O33" i="6"/>
  <c r="O22" i="6"/>
  <c r="N38" i="6"/>
  <c r="O65" i="6"/>
  <c r="N110" i="6"/>
  <c r="O57" i="6"/>
  <c r="N29" i="6"/>
  <c r="O29" i="6" s="1"/>
  <c r="N45" i="6"/>
  <c r="N55" i="6"/>
  <c r="O55" i="6" s="1"/>
  <c r="N71" i="6"/>
  <c r="O89" i="6"/>
  <c r="I102" i="6"/>
  <c r="N117" i="6"/>
  <c r="N127" i="6"/>
  <c r="O127" i="6" s="1"/>
  <c r="O13" i="6"/>
  <c r="N75" i="6"/>
  <c r="N78" i="6" s="1"/>
  <c r="O81" i="6"/>
  <c r="O9" i="6"/>
  <c r="O21" i="6"/>
  <c r="M34" i="6"/>
  <c r="O49" i="6"/>
  <c r="M60" i="6"/>
  <c r="I88" i="6"/>
  <c r="O121" i="6"/>
  <c r="I20" i="6"/>
  <c r="O27" i="6"/>
  <c r="M38" i="6"/>
  <c r="O53" i="6"/>
  <c r="M66" i="6"/>
  <c r="O125" i="6"/>
  <c r="M42" i="6"/>
  <c r="M70" i="6"/>
  <c r="M114" i="6"/>
  <c r="P211" i="8"/>
  <c r="P111" i="8"/>
  <c r="E213" i="8"/>
  <c r="P213" i="8" s="1"/>
  <c r="Q48" i="8"/>
  <c r="U48" i="8" s="1"/>
  <c r="T53" i="8"/>
  <c r="T55" i="8"/>
  <c r="T57" i="8"/>
  <c r="T59" i="8"/>
  <c r="T61" i="8"/>
  <c r="T63" i="8"/>
  <c r="T65" i="8"/>
  <c r="T67" i="8"/>
  <c r="T69" i="8"/>
  <c r="P214" i="8"/>
  <c r="E215" i="8"/>
  <c r="P215" i="8" s="1"/>
  <c r="P113" i="8"/>
  <c r="T198" i="8"/>
  <c r="Q229" i="8"/>
  <c r="Q233" i="8"/>
  <c r="Q237" i="8"/>
  <c r="T42" i="8"/>
  <c r="T44" i="8"/>
  <c r="T46" i="8"/>
  <c r="O108" i="8"/>
  <c r="O110" i="8"/>
  <c r="K224" i="8"/>
  <c r="R224" i="8" s="1"/>
  <c r="R122" i="8"/>
  <c r="E231" i="8"/>
  <c r="P231" i="8" s="1"/>
  <c r="P129" i="8"/>
  <c r="U266" i="8"/>
  <c r="T266" i="8"/>
  <c r="T12" i="8"/>
  <c r="T14" i="8"/>
  <c r="T16" i="8"/>
  <c r="T18" i="8"/>
  <c r="T20" i="8"/>
  <c r="T22" i="8"/>
  <c r="T24" i="8"/>
  <c r="T26" i="8"/>
  <c r="T28" i="8"/>
  <c r="T30" i="8"/>
  <c r="T32" i="8"/>
  <c r="T34" i="8"/>
  <c r="P216" i="8"/>
  <c r="E217" i="8"/>
  <c r="P217" i="8" s="1"/>
  <c r="P115" i="8"/>
  <c r="Q228" i="8"/>
  <c r="K236" i="8"/>
  <c r="R236" i="8" s="1"/>
  <c r="R134" i="8"/>
  <c r="Q238" i="8"/>
  <c r="U248" i="8"/>
  <c r="T248" i="8"/>
  <c r="U256" i="8"/>
  <c r="T256" i="8"/>
  <c r="U264" i="8"/>
  <c r="T264" i="8"/>
  <c r="U272" i="8"/>
  <c r="T272" i="8"/>
  <c r="K222" i="8"/>
  <c r="R222" i="8" s="1"/>
  <c r="R120" i="8"/>
  <c r="Q108" i="8"/>
  <c r="Q110" i="8"/>
  <c r="E219" i="8"/>
  <c r="P117" i="8"/>
  <c r="E221" i="8"/>
  <c r="P221" i="8" s="1"/>
  <c r="P119" i="8"/>
  <c r="K226" i="8"/>
  <c r="R124" i="8"/>
  <c r="E233" i="8"/>
  <c r="P233" i="8" s="1"/>
  <c r="P131" i="8"/>
  <c r="R219" i="8"/>
  <c r="Q50" i="8"/>
  <c r="U50" i="8" s="1"/>
  <c r="R108" i="8"/>
  <c r="R110" i="8"/>
  <c r="D223" i="8"/>
  <c r="L226" i="8"/>
  <c r="U183" i="8"/>
  <c r="Q216" i="8"/>
  <c r="E223" i="8"/>
  <c r="P121" i="8"/>
  <c r="K228" i="8"/>
  <c r="R228" i="8" s="1"/>
  <c r="R126" i="8"/>
  <c r="R229" i="8"/>
  <c r="P234" i="8"/>
  <c r="P133" i="8"/>
  <c r="E235" i="8"/>
  <c r="P235" i="8" s="1"/>
  <c r="R238" i="8"/>
  <c r="R239" i="8"/>
  <c r="T240" i="8" s="1"/>
  <c r="T147" i="8"/>
  <c r="T153" i="8"/>
  <c r="T159" i="8"/>
  <c r="T165" i="8"/>
  <c r="T171" i="8"/>
  <c r="U180" i="8"/>
  <c r="O187" i="8"/>
  <c r="G219" i="8"/>
  <c r="U246" i="8"/>
  <c r="T246" i="8"/>
  <c r="U254" i="8"/>
  <c r="T254" i="8"/>
  <c r="U262" i="8"/>
  <c r="T262" i="8"/>
  <c r="U270" i="8"/>
  <c r="T270" i="8"/>
  <c r="K234" i="8"/>
  <c r="R234" i="8" s="1"/>
  <c r="R132" i="8"/>
  <c r="U258" i="8"/>
  <c r="T258" i="8"/>
  <c r="K214" i="8"/>
  <c r="R214" i="8" s="1"/>
  <c r="R112" i="8"/>
  <c r="R215" i="8"/>
  <c r="Q232" i="8"/>
  <c r="O135" i="8"/>
  <c r="U147" i="8"/>
  <c r="U153" i="8"/>
  <c r="U159" i="8"/>
  <c r="U165" i="8"/>
  <c r="U171" i="8"/>
  <c r="O189" i="8"/>
  <c r="T202" i="8"/>
  <c r="H219" i="8"/>
  <c r="Q219" i="8" s="1"/>
  <c r="Q223" i="8"/>
  <c r="Q231" i="8"/>
  <c r="Q239" i="8"/>
  <c r="E229" i="8"/>
  <c r="P229" i="8" s="1"/>
  <c r="P127" i="8"/>
  <c r="Q210" i="8"/>
  <c r="O211" i="8"/>
  <c r="O109" i="8"/>
  <c r="Q212" i="8"/>
  <c r="O111" i="8"/>
  <c r="Q218" i="8"/>
  <c r="E225" i="8"/>
  <c r="P225" i="8" s="1"/>
  <c r="P123" i="8"/>
  <c r="K230" i="8"/>
  <c r="R230" i="8" s="1"/>
  <c r="R128" i="8"/>
  <c r="R231" i="8"/>
  <c r="T181" i="8"/>
  <c r="R192" i="8"/>
  <c r="T194" i="8"/>
  <c r="P109" i="8"/>
  <c r="K216" i="8"/>
  <c r="R216" i="8" s="1"/>
  <c r="R114" i="8"/>
  <c r="R217" i="8"/>
  <c r="I220" i="8"/>
  <c r="Q222" i="8"/>
  <c r="Q234" i="8"/>
  <c r="O137" i="8"/>
  <c r="U181" i="8"/>
  <c r="U252" i="8"/>
  <c r="T252" i="8"/>
  <c r="U260" i="8"/>
  <c r="T260" i="8"/>
  <c r="U268" i="8"/>
  <c r="T268" i="8"/>
  <c r="U250" i="8"/>
  <c r="T250" i="8"/>
  <c r="K218" i="8"/>
  <c r="R218" i="8" s="1"/>
  <c r="R116" i="8"/>
  <c r="K220" i="8"/>
  <c r="R220" i="8" s="1"/>
  <c r="R118" i="8"/>
  <c r="E227" i="8"/>
  <c r="P125" i="8"/>
  <c r="K232" i="8"/>
  <c r="R232" i="8" s="1"/>
  <c r="R130" i="8"/>
  <c r="R233" i="8"/>
  <c r="P237" i="8"/>
  <c r="U186" i="8"/>
  <c r="U194" i="8"/>
  <c r="T200" i="8"/>
  <c r="R135" i="8"/>
  <c r="R137" i="8"/>
  <c r="T138" i="8" s="1"/>
  <c r="P112" i="8"/>
  <c r="P114" i="8"/>
  <c r="P116" i="8"/>
  <c r="P118" i="8"/>
  <c r="P120" i="8"/>
  <c r="P122" i="8"/>
  <c r="P124" i="8"/>
  <c r="P126" i="8"/>
  <c r="P128" i="8"/>
  <c r="P130" i="8"/>
  <c r="P132" i="8"/>
  <c r="E236" i="8"/>
  <c r="P236" i="8" s="1"/>
  <c r="E238" i="8"/>
  <c r="P238" i="8" s="1"/>
  <c r="Q112" i="8"/>
  <c r="Q114" i="8"/>
  <c r="Q116" i="8"/>
  <c r="Q118" i="8"/>
  <c r="Q120" i="8"/>
  <c r="Q122" i="8"/>
  <c r="Q124" i="8"/>
  <c r="Q126" i="8"/>
  <c r="Q128" i="8"/>
  <c r="Q130" i="8"/>
  <c r="Q132" i="8"/>
  <c r="Q134" i="8"/>
  <c r="Q136" i="8"/>
  <c r="B213" i="8"/>
  <c r="O213" i="8" s="1"/>
  <c r="B215" i="8"/>
  <c r="O215" i="8" s="1"/>
  <c r="B217" i="8"/>
  <c r="O217" i="8" s="1"/>
  <c r="B219" i="8"/>
  <c r="O219" i="8" s="1"/>
  <c r="B221" i="8"/>
  <c r="B223" i="8"/>
  <c r="B225" i="8"/>
  <c r="B227" i="8"/>
  <c r="B229" i="8"/>
  <c r="O229" i="8" s="1"/>
  <c r="B231" i="8"/>
  <c r="O231" i="8" s="1"/>
  <c r="B233" i="8"/>
  <c r="O233" i="8" s="1"/>
  <c r="B235" i="8"/>
  <c r="O235" i="8" s="1"/>
  <c r="B237" i="8"/>
  <c r="O237" i="8" s="1"/>
  <c r="B239" i="8"/>
  <c r="O239" i="8" s="1"/>
  <c r="R136" i="8"/>
  <c r="S20" i="9"/>
  <c r="S22" i="9"/>
  <c r="O155" i="9"/>
  <c r="O161" i="9"/>
  <c r="H226" i="9"/>
  <c r="H234" i="9"/>
  <c r="Q234" i="9" s="1"/>
  <c r="H242" i="9"/>
  <c r="Q242" i="9" s="1"/>
  <c r="U28" i="9"/>
  <c r="O224" i="9"/>
  <c r="O157" i="9"/>
  <c r="O230" i="9"/>
  <c r="O163" i="9"/>
  <c r="R239" i="9"/>
  <c r="Q245" i="9"/>
  <c r="U197" i="9"/>
  <c r="B41" i="11" s="1"/>
  <c r="S197" i="9"/>
  <c r="B227" i="9"/>
  <c r="O227" i="9" s="1"/>
  <c r="B235" i="9"/>
  <c r="O235" i="9" s="1"/>
  <c r="B243" i="9"/>
  <c r="O243" i="9" s="1"/>
  <c r="U31" i="9"/>
  <c r="P219" i="9"/>
  <c r="P220" i="9"/>
  <c r="P221" i="9"/>
  <c r="O232" i="9"/>
  <c r="O165" i="9"/>
  <c r="R241" i="9"/>
  <c r="U191" i="9"/>
  <c r="B35" i="11" s="1"/>
  <c r="S191" i="9"/>
  <c r="H220" i="9"/>
  <c r="Q220" i="9" s="1"/>
  <c r="H228" i="9"/>
  <c r="Q236" i="9"/>
  <c r="H244" i="9"/>
  <c r="Q244" i="9" s="1"/>
  <c r="O171" i="9"/>
  <c r="B221" i="9"/>
  <c r="O221" i="9" s="1"/>
  <c r="B245" i="9"/>
  <c r="O245" i="9" s="1"/>
  <c r="U22" i="9"/>
  <c r="U29" i="9"/>
  <c r="Q219" i="9"/>
  <c r="Q221" i="9"/>
  <c r="P226" i="9"/>
  <c r="P227" i="9"/>
  <c r="P232" i="9"/>
  <c r="P233" i="9"/>
  <c r="O240" i="9"/>
  <c r="O173" i="9"/>
  <c r="U195" i="9"/>
  <c r="B39" i="11" s="1"/>
  <c r="S195" i="9"/>
  <c r="M228" i="9"/>
  <c r="R49" i="9"/>
  <c r="U50" i="9" s="1"/>
  <c r="Q180" i="9"/>
  <c r="H248" i="9"/>
  <c r="Q248" i="9" s="1"/>
  <c r="U189" i="9"/>
  <c r="B33" i="11" s="1"/>
  <c r="S189" i="9"/>
  <c r="H222" i="9"/>
  <c r="Q222" i="9" s="1"/>
  <c r="H230" i="9"/>
  <c r="Q230" i="9" s="1"/>
  <c r="H238" i="9"/>
  <c r="Q238" i="9" s="1"/>
  <c r="H246" i="9"/>
  <c r="Q246" i="9" s="1"/>
  <c r="S29" i="9"/>
  <c r="U32" i="9"/>
  <c r="U27" i="9"/>
  <c r="Q233" i="9"/>
  <c r="U57" i="9"/>
  <c r="R223" i="9"/>
  <c r="R229" i="9"/>
  <c r="Q235" i="9"/>
  <c r="P242" i="9"/>
  <c r="P243" i="9"/>
  <c r="O246" i="9"/>
  <c r="O247" i="9"/>
  <c r="O179" i="9"/>
  <c r="U187" i="9"/>
  <c r="B31" i="11" s="1"/>
  <c r="S187" i="9"/>
  <c r="U193" i="9"/>
  <c r="B37" i="11" s="1"/>
  <c r="S193" i="9"/>
  <c r="U199" i="9"/>
  <c r="B43" i="11" s="1"/>
  <c r="S199" i="9"/>
  <c r="H224" i="9"/>
  <c r="Q224" i="9" s="1"/>
  <c r="H232" i="9"/>
  <c r="Q232" i="9" s="1"/>
  <c r="H240" i="9"/>
  <c r="Q240" i="9" s="1"/>
  <c r="U25" i="9"/>
  <c r="S27" i="9"/>
  <c r="U30" i="9"/>
  <c r="R225" i="9"/>
  <c r="R231" i="9"/>
  <c r="Q239" i="9"/>
  <c r="P244" i="9"/>
  <c r="P245" i="9"/>
  <c r="P153" i="9"/>
  <c r="P155" i="9"/>
  <c r="P157" i="9"/>
  <c r="P159" i="9"/>
  <c r="P161" i="9"/>
  <c r="P163" i="9"/>
  <c r="P165" i="9"/>
  <c r="P167" i="9"/>
  <c r="P169" i="9"/>
  <c r="P171" i="9"/>
  <c r="P173" i="9"/>
  <c r="P175" i="9"/>
  <c r="P177" i="9"/>
  <c r="P179" i="9"/>
  <c r="P151" i="9"/>
  <c r="Q153" i="9"/>
  <c r="Q155" i="9"/>
  <c r="Q157" i="9"/>
  <c r="Q159" i="9"/>
  <c r="Q227" i="9" s="1"/>
  <c r="Q161" i="9"/>
  <c r="Q163" i="9"/>
  <c r="Q165" i="9"/>
  <c r="Q167" i="9"/>
  <c r="Q171" i="9"/>
  <c r="Q173" i="9"/>
  <c r="Q175" i="9"/>
  <c r="Q151" i="9"/>
  <c r="R153" i="9"/>
  <c r="R155" i="9"/>
  <c r="R157" i="9"/>
  <c r="R159" i="9"/>
  <c r="R161" i="9"/>
  <c r="R163" i="9"/>
  <c r="R165" i="9"/>
  <c r="R167" i="9"/>
  <c r="R169" i="9"/>
  <c r="R171" i="9"/>
  <c r="R173" i="9"/>
  <c r="R175" i="9"/>
  <c r="R177" i="9"/>
  <c r="K220" i="9"/>
  <c r="R220" i="9" s="1"/>
  <c r="K222" i="9"/>
  <c r="R222" i="9" s="1"/>
  <c r="K224" i="9"/>
  <c r="R224" i="9" s="1"/>
  <c r="K226" i="9"/>
  <c r="R226" i="9" s="1"/>
  <c r="K230" i="9"/>
  <c r="R230" i="9" s="1"/>
  <c r="K232" i="9"/>
  <c r="R232" i="9" s="1"/>
  <c r="K234" i="9"/>
  <c r="R234" i="9" s="1"/>
  <c r="K236" i="9"/>
  <c r="R236" i="9" s="1"/>
  <c r="K238" i="9"/>
  <c r="R238" i="9" s="1"/>
  <c r="K240" i="9"/>
  <c r="R240" i="9" s="1"/>
  <c r="K242" i="9"/>
  <c r="R242" i="9" s="1"/>
  <c r="K244" i="9"/>
  <c r="R244" i="9" s="1"/>
  <c r="K246" i="9"/>
  <c r="R246" i="9" s="1"/>
  <c r="R151" i="9"/>
  <c r="K248" i="9"/>
  <c r="R248" i="9" s="1"/>
  <c r="O152" i="9"/>
  <c r="O154" i="9"/>
  <c r="O156" i="9"/>
  <c r="O158" i="9"/>
  <c r="O160" i="9"/>
  <c r="O162" i="9"/>
  <c r="O164" i="9"/>
  <c r="O166" i="9"/>
  <c r="O168" i="9"/>
  <c r="O170" i="9"/>
  <c r="O172" i="9"/>
  <c r="O174" i="9"/>
  <c r="O176" i="9"/>
  <c r="O178" i="9"/>
  <c r="O180" i="9"/>
  <c r="P152" i="9"/>
  <c r="P154" i="9"/>
  <c r="P156" i="9"/>
  <c r="P158" i="9"/>
  <c r="P160" i="9"/>
  <c r="P162" i="9"/>
  <c r="P164" i="9"/>
  <c r="P166" i="9"/>
  <c r="P168" i="9"/>
  <c r="P170" i="9"/>
  <c r="P172" i="9"/>
  <c r="P174" i="9"/>
  <c r="P176" i="9"/>
  <c r="P178" i="9"/>
  <c r="P180" i="9"/>
  <c r="J237" i="9"/>
  <c r="Q237" i="9" s="1"/>
  <c r="Q58" i="9"/>
  <c r="U58" i="9" s="1"/>
  <c r="G10" i="11"/>
  <c r="F10" i="11"/>
  <c r="H10" i="11"/>
  <c r="H16" i="11"/>
  <c r="G16" i="11"/>
  <c r="F16" i="11"/>
  <c r="H11" i="11"/>
  <c r="G11" i="11"/>
  <c r="F11" i="11"/>
  <c r="G8" i="11"/>
  <c r="F13" i="11"/>
  <c r="F18" i="11"/>
  <c r="F21" i="11"/>
  <c r="F24" i="11"/>
  <c r="F27" i="11"/>
  <c r="G18" i="11"/>
  <c r="G21" i="11"/>
  <c r="G24" i="11"/>
  <c r="G27" i="11"/>
  <c r="D14" i="11"/>
  <c r="G14" i="11" s="1"/>
  <c r="F19" i="11"/>
  <c r="F22" i="11"/>
  <c r="F25" i="11"/>
  <c r="F28" i="11"/>
  <c r="D7" i="11"/>
  <c r="G19" i="11"/>
  <c r="G22" i="11"/>
  <c r="G25" i="11"/>
  <c r="G28" i="11"/>
  <c r="F12" i="11"/>
  <c r="D17" i="11"/>
  <c r="G17" i="11" s="1"/>
  <c r="F20" i="11"/>
  <c r="F23" i="11"/>
  <c r="F26" i="11"/>
  <c r="F29" i="11"/>
  <c r="F209" i="12"/>
  <c r="J209" i="12"/>
  <c r="J224" i="12"/>
  <c r="E11" i="12"/>
  <c r="E34" i="12"/>
  <c r="E72" i="12"/>
  <c r="E16" i="12"/>
  <c r="F129" i="12"/>
  <c r="I189" i="12"/>
  <c r="I193" i="12"/>
  <c r="I197" i="12"/>
  <c r="C199" i="12"/>
  <c r="E199" i="12" s="1"/>
  <c r="I201" i="12"/>
  <c r="I205" i="12"/>
  <c r="I209" i="12"/>
  <c r="C211" i="12"/>
  <c r="E211" i="12" s="1"/>
  <c r="I213" i="12"/>
  <c r="C215" i="12"/>
  <c r="E215" i="12" s="1"/>
  <c r="I217" i="12"/>
  <c r="I221" i="12"/>
  <c r="I225" i="12"/>
  <c r="I229" i="12"/>
  <c r="E9" i="12"/>
  <c r="E21" i="12"/>
  <c r="E32" i="12"/>
  <c r="J42" i="12"/>
  <c r="F45" i="12"/>
  <c r="F132" i="12"/>
  <c r="F157" i="12"/>
  <c r="F135" i="12"/>
  <c r="C190" i="12"/>
  <c r="E190" i="12" s="1"/>
  <c r="I192" i="12"/>
  <c r="I196" i="12"/>
  <c r="I200" i="12"/>
  <c r="I204" i="12"/>
  <c r="I208" i="12"/>
  <c r="I212" i="12"/>
  <c r="I216" i="12"/>
  <c r="I220" i="12"/>
  <c r="I224" i="12"/>
  <c r="E33" i="12"/>
  <c r="F41" i="12"/>
  <c r="F46" i="12"/>
  <c r="E71" i="12"/>
  <c r="F133" i="12"/>
  <c r="I191" i="12"/>
  <c r="I195" i="12"/>
  <c r="C197" i="12"/>
  <c r="E197" i="12" s="1"/>
  <c r="I199" i="12"/>
  <c r="I203" i="12"/>
  <c r="I207" i="12"/>
  <c r="I211" i="12"/>
  <c r="I215" i="12"/>
  <c r="I223" i="12"/>
  <c r="I227" i="12"/>
  <c r="F128" i="12"/>
  <c r="F158" i="12"/>
  <c r="J163" i="12"/>
  <c r="E12" i="12"/>
  <c r="F44" i="12"/>
  <c r="I190" i="12"/>
  <c r="I194" i="12"/>
  <c r="I198" i="12"/>
  <c r="I202" i="12"/>
  <c r="I206" i="12"/>
  <c r="I214" i="12"/>
  <c r="I218" i="12"/>
  <c r="I222" i="12"/>
  <c r="I226" i="12"/>
  <c r="I230" i="12"/>
  <c r="AH75" i="13"/>
  <c r="AI75" i="13"/>
  <c r="B64" i="13"/>
  <c r="AJ75" i="13"/>
  <c r="C64" i="13"/>
  <c r="AK75" i="13"/>
  <c r="D64" i="13"/>
  <c r="AL75" i="13"/>
  <c r="E64" i="13"/>
  <c r="AM75" i="13"/>
  <c r="F64" i="13"/>
  <c r="AB75" i="13"/>
  <c r="AN75" i="13"/>
  <c r="AC75" i="13"/>
  <c r="AO75" i="13"/>
  <c r="AD75" i="13"/>
  <c r="AP75" i="13"/>
  <c r="P47" i="10" l="1"/>
  <c r="P22" i="10"/>
  <c r="P40" i="10"/>
  <c r="D51" i="11"/>
  <c r="P32" i="10"/>
  <c r="P24" i="10"/>
  <c r="P30" i="10"/>
  <c r="P37" i="10"/>
  <c r="P27" i="10"/>
  <c r="P34" i="10"/>
  <c r="P43" i="10"/>
  <c r="P26" i="10"/>
  <c r="D37" i="11"/>
  <c r="P31" i="10"/>
  <c r="P44" i="10"/>
  <c r="P25" i="10"/>
  <c r="P41" i="10"/>
  <c r="P19" i="10"/>
  <c r="P38" i="10"/>
  <c r="P33" i="10"/>
  <c r="P28" i="10"/>
  <c r="P35" i="10"/>
  <c r="P45" i="10"/>
  <c r="P29" i="10"/>
  <c r="P20" i="10"/>
  <c r="P42" i="10"/>
  <c r="P23" i="10"/>
  <c r="L117" i="12"/>
  <c r="H210" i="12"/>
  <c r="J117" i="12"/>
  <c r="I117" i="12"/>
  <c r="P39" i="10"/>
  <c r="D50" i="11"/>
  <c r="P46" i="10"/>
  <c r="P36" i="10"/>
  <c r="U181" i="9"/>
  <c r="C59" i="11" s="1"/>
  <c r="L125" i="12"/>
  <c r="L126" i="12"/>
  <c r="H219" i="12"/>
  <c r="J126" i="12"/>
  <c r="I126" i="12"/>
  <c r="AJ100" i="13"/>
  <c r="AM100" i="13"/>
  <c r="AB100" i="13"/>
  <c r="AG100" i="13"/>
  <c r="AF100" i="13"/>
  <c r="AK100" i="13"/>
  <c r="Q227" i="8"/>
  <c r="AL100" i="13"/>
  <c r="P226" i="8"/>
  <c r="AI100" i="13"/>
  <c r="V59" i="5"/>
  <c r="O88" i="6"/>
  <c r="O221" i="8"/>
  <c r="U221" i="8" s="1"/>
  <c r="Q225" i="8"/>
  <c r="AH100" i="13"/>
  <c r="M79" i="7"/>
  <c r="N79" i="7" s="1"/>
  <c r="O79" i="7" s="1"/>
  <c r="AE100" i="13"/>
  <c r="AN100" i="13"/>
  <c r="AC100" i="13"/>
  <c r="AD100" i="13"/>
  <c r="F9" i="11"/>
  <c r="AO100" i="13"/>
  <c r="T193" i="8"/>
  <c r="P227" i="8"/>
  <c r="U191" i="8"/>
  <c r="T134" i="8"/>
  <c r="U189" i="8"/>
  <c r="T192" i="8"/>
  <c r="T190" i="8"/>
  <c r="O223" i="8"/>
  <c r="T191" i="8"/>
  <c r="T188" i="8"/>
  <c r="T185" i="8"/>
  <c r="P222" i="8"/>
  <c r="T222" i="8" s="1"/>
  <c r="U187" i="8"/>
  <c r="U193" i="8"/>
  <c r="T133" i="8"/>
  <c r="U190" i="8"/>
  <c r="U228" i="9"/>
  <c r="U231" i="9"/>
  <c r="U249" i="9"/>
  <c r="U188" i="8"/>
  <c r="U185" i="8"/>
  <c r="Q220" i="8"/>
  <c r="U220" i="8" s="1"/>
  <c r="T187" i="8"/>
  <c r="O382" i="6"/>
  <c r="U248" i="9"/>
  <c r="J225" i="12"/>
  <c r="V440" i="5"/>
  <c r="G9" i="11"/>
  <c r="G13" i="11"/>
  <c r="O377" i="6"/>
  <c r="O12" i="6"/>
  <c r="O84" i="6"/>
  <c r="O92" i="6"/>
  <c r="O110" i="6"/>
  <c r="O96" i="6"/>
  <c r="O70" i="6"/>
  <c r="O225" i="8"/>
  <c r="T230" i="8"/>
  <c r="T189" i="8"/>
  <c r="U121" i="8"/>
  <c r="T236" i="8"/>
  <c r="U210" i="8"/>
  <c r="U228" i="8"/>
  <c r="T216" i="8"/>
  <c r="O224" i="8"/>
  <c r="T224" i="8" s="1"/>
  <c r="U133" i="8"/>
  <c r="U212" i="8"/>
  <c r="U115" i="8"/>
  <c r="U111" i="8"/>
  <c r="T137" i="8"/>
  <c r="T120" i="8"/>
  <c r="U109" i="8"/>
  <c r="U234" i="8"/>
  <c r="T123" i="8"/>
  <c r="U127" i="8"/>
  <c r="U131" i="8"/>
  <c r="U125" i="8"/>
  <c r="U113" i="8"/>
  <c r="T213" i="8"/>
  <c r="U230" i="8"/>
  <c r="U123" i="8"/>
  <c r="P223" i="8"/>
  <c r="U116" i="8"/>
  <c r="U135" i="8"/>
  <c r="O227" i="8"/>
  <c r="U232" i="8"/>
  <c r="U216" i="8"/>
  <c r="R226" i="8"/>
  <c r="T214" i="8"/>
  <c r="T124" i="8"/>
  <c r="U129" i="8"/>
  <c r="O102" i="6"/>
  <c r="O124" i="6"/>
  <c r="O38" i="6"/>
  <c r="O106" i="6"/>
  <c r="O20" i="6"/>
  <c r="O60" i="6"/>
  <c r="O52" i="6"/>
  <c r="O16" i="6"/>
  <c r="O30" i="6"/>
  <c r="O34" i="6"/>
  <c r="U122" i="8"/>
  <c r="U218" i="8"/>
  <c r="T118" i="8"/>
  <c r="T220" i="8" s="1"/>
  <c r="T131" i="8"/>
  <c r="U237" i="8"/>
  <c r="T128" i="8"/>
  <c r="T116" i="8"/>
  <c r="T50" i="8"/>
  <c r="U136" i="8"/>
  <c r="T114" i="8"/>
  <c r="T228" i="8"/>
  <c r="T122" i="8"/>
  <c r="U118" i="8"/>
  <c r="O226" i="8"/>
  <c r="U233" i="8"/>
  <c r="T238" i="8"/>
  <c r="T112" i="8"/>
  <c r="U211" i="8"/>
  <c r="U120" i="8"/>
  <c r="U229" i="8"/>
  <c r="U132" i="8"/>
  <c r="T129" i="8"/>
  <c r="U119" i="8"/>
  <c r="T121" i="8"/>
  <c r="U130" i="8"/>
  <c r="T119" i="8"/>
  <c r="U128" i="8"/>
  <c r="T127" i="8"/>
  <c r="U117" i="8"/>
  <c r="T126" i="8"/>
  <c r="T109" i="8"/>
  <c r="U241" i="9"/>
  <c r="U236" i="9"/>
  <c r="U234" i="9"/>
  <c r="U246" i="9"/>
  <c r="U167" i="9"/>
  <c r="C45" i="11" s="1"/>
  <c r="D45" i="11" s="1"/>
  <c r="U165" i="9"/>
  <c r="C43" i="11" s="1"/>
  <c r="S179" i="9"/>
  <c r="S247" i="9" s="1"/>
  <c r="U238" i="9"/>
  <c r="U235" i="9"/>
  <c r="U230" i="9"/>
  <c r="S175" i="9"/>
  <c r="S243" i="9" s="1"/>
  <c r="U244" i="9"/>
  <c r="U171" i="9"/>
  <c r="C49" i="11" s="1"/>
  <c r="U163" i="9"/>
  <c r="C41" i="11" s="1"/>
  <c r="D41" i="11" s="1"/>
  <c r="U166" i="9"/>
  <c r="C44" i="11" s="1"/>
  <c r="U227" i="9"/>
  <c r="S167" i="9"/>
  <c r="S235" i="9" s="1"/>
  <c r="U240" i="9"/>
  <c r="S159" i="9"/>
  <c r="S227" i="9" s="1"/>
  <c r="S164" i="9"/>
  <c r="S232" i="9" s="1"/>
  <c r="U174" i="9"/>
  <c r="C52" i="11" s="1"/>
  <c r="D52" i="11" s="1"/>
  <c r="S151" i="9"/>
  <c r="S219" i="9" s="1"/>
  <c r="S162" i="9"/>
  <c r="S230" i="9" s="1"/>
  <c r="U239" i="9"/>
  <c r="U172" i="9"/>
  <c r="C50" i="11" s="1"/>
  <c r="U155" i="9"/>
  <c r="C33" i="11" s="1"/>
  <c r="D33" i="11" s="1"/>
  <c r="U170" i="9"/>
  <c r="C48" i="11" s="1"/>
  <c r="U177" i="9"/>
  <c r="C55" i="11" s="1"/>
  <c r="S153" i="9"/>
  <c r="S221" i="9" s="1"/>
  <c r="N120" i="6"/>
  <c r="O117" i="6"/>
  <c r="O120" i="6" s="1"/>
  <c r="O75" i="6"/>
  <c r="O78" i="6" s="1"/>
  <c r="N128" i="6"/>
  <c r="O114" i="6"/>
  <c r="N74" i="6"/>
  <c r="O71" i="6"/>
  <c r="O74" i="6" s="1"/>
  <c r="N56" i="6"/>
  <c r="O42" i="6"/>
  <c r="N48" i="6"/>
  <c r="O45" i="6"/>
  <c r="O48" i="6" s="1"/>
  <c r="O128" i="6"/>
  <c r="O24" i="6"/>
  <c r="N30" i="6"/>
  <c r="O56" i="6"/>
  <c r="O66" i="6"/>
  <c r="U235" i="8"/>
  <c r="T239" i="8"/>
  <c r="T235" i="8"/>
  <c r="U134" i="8"/>
  <c r="U236" i="8"/>
  <c r="T212" i="8"/>
  <c r="U231" i="8"/>
  <c r="T136" i="8"/>
  <c r="U238" i="8"/>
  <c r="U126" i="8"/>
  <c r="U192" i="8"/>
  <c r="P219" i="8"/>
  <c r="T219" i="8" s="1"/>
  <c r="U110" i="8"/>
  <c r="T221" i="8"/>
  <c r="U114" i="8"/>
  <c r="U108" i="8"/>
  <c r="T130" i="8"/>
  <c r="T117" i="8"/>
  <c r="U124" i="8"/>
  <c r="T211" i="8"/>
  <c r="T48" i="8"/>
  <c r="T132" i="8"/>
  <c r="U214" i="8"/>
  <c r="T218" i="8"/>
  <c r="T232" i="8"/>
  <c r="T229" i="8"/>
  <c r="T135" i="8"/>
  <c r="T115" i="8"/>
  <c r="T113" i="8"/>
  <c r="T237" i="8"/>
  <c r="U217" i="8"/>
  <c r="T234" i="8"/>
  <c r="T217" i="8"/>
  <c r="T231" i="8"/>
  <c r="T215" i="8"/>
  <c r="U239" i="8"/>
  <c r="U215" i="8"/>
  <c r="U112" i="8"/>
  <c r="T110" i="8"/>
  <c r="U213" i="8"/>
  <c r="T233" i="8"/>
  <c r="U137" i="8"/>
  <c r="T125" i="8"/>
  <c r="U237" i="9"/>
  <c r="U153" i="9"/>
  <c r="C31" i="11" s="1"/>
  <c r="D31" i="11" s="1"/>
  <c r="S161" i="9"/>
  <c r="S229" i="9" s="1"/>
  <c r="S158" i="9"/>
  <c r="S226" i="9" s="1"/>
  <c r="U168" i="9"/>
  <c r="C46" i="11" s="1"/>
  <c r="U159" i="9"/>
  <c r="C37" i="11" s="1"/>
  <c r="S163" i="9"/>
  <c r="S231" i="9" s="1"/>
  <c r="S155" i="9"/>
  <c r="S223" i="9" s="1"/>
  <c r="S180" i="9"/>
  <c r="S248" i="9" s="1"/>
  <c r="S156" i="9"/>
  <c r="S224" i="9" s="1"/>
  <c r="U233" i="9"/>
  <c r="Q169" i="9"/>
  <c r="S169" i="9" s="1"/>
  <c r="S237" i="9" s="1"/>
  <c r="S178" i="9"/>
  <c r="S246" i="9" s="1"/>
  <c r="S154" i="9"/>
  <c r="S222" i="9" s="1"/>
  <c r="U164" i="9"/>
  <c r="C42" i="11" s="1"/>
  <c r="U179" i="9"/>
  <c r="C57" i="11" s="1"/>
  <c r="D57" i="11" s="1"/>
  <c r="U175" i="9"/>
  <c r="C53" i="11" s="1"/>
  <c r="S157" i="9"/>
  <c r="S225" i="9" s="1"/>
  <c r="S176" i="9"/>
  <c r="S244" i="9" s="1"/>
  <c r="S152" i="9"/>
  <c r="S220" i="9" s="1"/>
  <c r="U162" i="9"/>
  <c r="C40" i="11" s="1"/>
  <c r="D40" i="11" s="1"/>
  <c r="S174" i="9"/>
  <c r="S242" i="9" s="1"/>
  <c r="R160" i="9"/>
  <c r="U161" i="9" s="1"/>
  <c r="C39" i="11" s="1"/>
  <c r="D39" i="11" s="1"/>
  <c r="K228" i="9"/>
  <c r="S172" i="9"/>
  <c r="S240" i="9" s="1"/>
  <c r="U152" i="9"/>
  <c r="U160" i="9"/>
  <c r="C38" i="11" s="1"/>
  <c r="U232" i="9"/>
  <c r="S177" i="9"/>
  <c r="S245" i="9" s="1"/>
  <c r="S170" i="9"/>
  <c r="S238" i="9" s="1"/>
  <c r="U247" i="9"/>
  <c r="U158" i="9"/>
  <c r="U242" i="9"/>
  <c r="S168" i="9"/>
  <c r="S236" i="9" s="1"/>
  <c r="U245" i="9"/>
  <c r="U178" i="9"/>
  <c r="C56" i="11" s="1"/>
  <c r="U156" i="9"/>
  <c r="C34" i="11" s="1"/>
  <c r="D34" i="11" s="1"/>
  <c r="U226" i="9"/>
  <c r="S173" i="9"/>
  <c r="S241" i="9" s="1"/>
  <c r="U173" i="9"/>
  <c r="C51" i="11" s="1"/>
  <c r="S166" i="9"/>
  <c r="S234" i="9" s="1"/>
  <c r="U243" i="9"/>
  <c r="U176" i="9"/>
  <c r="C54" i="11" s="1"/>
  <c r="D54" i="11" s="1"/>
  <c r="U154" i="9"/>
  <c r="C32" i="11" s="1"/>
  <c r="U157" i="9"/>
  <c r="C35" i="11" s="1"/>
  <c r="D35" i="11" s="1"/>
  <c r="U180" i="9"/>
  <c r="C58" i="11" s="1"/>
  <c r="S171" i="9"/>
  <c r="S239" i="9" s="1"/>
  <c r="S165" i="9"/>
  <c r="S233" i="9" s="1"/>
  <c r="H7" i="11"/>
  <c r="F7" i="11"/>
  <c r="G7" i="11"/>
  <c r="H14" i="11"/>
  <c r="F14" i="11"/>
  <c r="H17" i="11"/>
  <c r="F17" i="11"/>
  <c r="H34" i="11" l="1"/>
  <c r="F34" i="11"/>
  <c r="H39" i="11"/>
  <c r="F39" i="11"/>
  <c r="H33" i="11"/>
  <c r="F33" i="11"/>
  <c r="H52" i="11"/>
  <c r="F52" i="11"/>
  <c r="G35" i="11"/>
  <c r="F35" i="11"/>
  <c r="H35" i="11"/>
  <c r="H57" i="11"/>
  <c r="F57" i="11"/>
  <c r="G41" i="11"/>
  <c r="F41" i="11"/>
  <c r="H41" i="11"/>
  <c r="H45" i="11"/>
  <c r="F45" i="11"/>
  <c r="H54" i="11"/>
  <c r="F54" i="11"/>
  <c r="H31" i="11"/>
  <c r="F31" i="11"/>
  <c r="H40" i="11"/>
  <c r="F40" i="11"/>
  <c r="G50" i="11"/>
  <c r="H50" i="11"/>
  <c r="F50" i="11"/>
  <c r="J210" i="12"/>
  <c r="I210" i="12"/>
  <c r="G33" i="11"/>
  <c r="H51" i="11"/>
  <c r="F51" i="11"/>
  <c r="D32" i="11"/>
  <c r="D48" i="11"/>
  <c r="G48" i="11" s="1"/>
  <c r="G46" i="11"/>
  <c r="G52" i="11"/>
  <c r="D56" i="11"/>
  <c r="D49" i="11"/>
  <c r="G49" i="11" s="1"/>
  <c r="H37" i="11"/>
  <c r="F37" i="11"/>
  <c r="G40" i="11"/>
  <c r="G54" i="11"/>
  <c r="G51" i="11"/>
  <c r="G57" i="11"/>
  <c r="D55" i="11"/>
  <c r="G55" i="11" s="1"/>
  <c r="D58" i="11"/>
  <c r="G39" i="11"/>
  <c r="D44" i="11"/>
  <c r="G37" i="11"/>
  <c r="G31" i="11"/>
  <c r="G43" i="11"/>
  <c r="D53" i="11"/>
  <c r="D46" i="11"/>
  <c r="C36" i="11"/>
  <c r="C30" i="11"/>
  <c r="G34" i="11"/>
  <c r="G45" i="11"/>
  <c r="D59" i="11"/>
  <c r="D42" i="11"/>
  <c r="D38" i="11"/>
  <c r="D43" i="11"/>
  <c r="U224" i="9"/>
  <c r="U223" i="9"/>
  <c r="U221" i="9"/>
  <c r="U225" i="9"/>
  <c r="U222" i="9"/>
  <c r="U220" i="9"/>
  <c r="J219" i="12"/>
  <c r="I219" i="12"/>
  <c r="T225" i="8"/>
  <c r="R228" i="9"/>
  <c r="U229" i="9" s="1"/>
  <c r="U227" i="8"/>
  <c r="U222" i="8"/>
  <c r="U223" i="8"/>
  <c r="U225" i="8"/>
  <c r="T227" i="8"/>
  <c r="U224" i="8"/>
  <c r="U226" i="8"/>
  <c r="T223" i="8"/>
  <c r="T226" i="8"/>
  <c r="U219" i="8"/>
  <c r="U169" i="9"/>
  <c r="C47" i="11" s="1"/>
  <c r="S160" i="9"/>
  <c r="S228" i="9" s="1"/>
  <c r="D36" i="11" l="1"/>
  <c r="H43" i="11"/>
  <c r="F43" i="11"/>
  <c r="H42" i="11"/>
  <c r="F42" i="11"/>
  <c r="G38" i="11"/>
  <c r="H38" i="11"/>
  <c r="F38" i="11"/>
  <c r="G32" i="11"/>
  <c r="F32" i="11"/>
  <c r="H32" i="11"/>
  <c r="G42" i="11"/>
  <c r="G59" i="11"/>
  <c r="F59" i="11"/>
  <c r="H59" i="11"/>
  <c r="D47" i="11"/>
  <c r="H46" i="11"/>
  <c r="F46" i="11"/>
  <c r="G56" i="11"/>
  <c r="F56" i="11"/>
  <c r="H56" i="11"/>
  <c r="H49" i="11"/>
  <c r="F49" i="11"/>
  <c r="G53" i="11"/>
  <c r="F53" i="11"/>
  <c r="H53" i="11"/>
  <c r="G44" i="11"/>
  <c r="H44" i="11"/>
  <c r="F44" i="11"/>
  <c r="H48" i="11"/>
  <c r="F48" i="11"/>
  <c r="H58" i="11"/>
  <c r="F58" i="11"/>
  <c r="D30" i="11"/>
  <c r="H55" i="11"/>
  <c r="F55" i="11"/>
  <c r="G58" i="11"/>
  <c r="D203" i="12"/>
  <c r="J203" i="12" s="1"/>
  <c r="J110" i="12"/>
  <c r="C110" i="12"/>
  <c r="E110" i="12" s="1"/>
  <c r="F110" i="12"/>
  <c r="H36" i="11" l="1"/>
  <c r="F36" i="11"/>
  <c r="G36" i="11"/>
  <c r="G47" i="11"/>
  <c r="H47" i="11"/>
  <c r="F47" i="11"/>
  <c r="H30" i="11"/>
  <c r="F30" i="11"/>
  <c r="G30" i="11"/>
  <c r="F203" i="12"/>
  <c r="C203" i="12"/>
  <c r="E203" i="12" s="1"/>
  <c r="D204" i="12"/>
  <c r="J204" i="12" s="1"/>
  <c r="F111" i="12"/>
  <c r="C111" i="12"/>
  <c r="E111" i="12" s="1"/>
  <c r="J111" i="12"/>
  <c r="F112" i="12"/>
  <c r="J112" i="12"/>
  <c r="C112" i="12"/>
  <c r="E112" i="12" s="1"/>
  <c r="D205" i="12"/>
  <c r="J205" i="12" s="1"/>
  <c r="C204" i="12" l="1"/>
  <c r="E204" i="12" s="1"/>
  <c r="F204" i="12"/>
  <c r="F205" i="12"/>
  <c r="C205" i="12"/>
  <c r="E205" i="12" s="1"/>
  <c r="C113" i="12" l="1"/>
  <c r="E113" i="12" s="1"/>
  <c r="B207" i="12"/>
  <c r="C114" i="12"/>
  <c r="E114" i="12" s="1"/>
  <c r="C207" i="12" l="1"/>
  <c r="E207" i="12" s="1"/>
  <c r="B206" i="12"/>
  <c r="C26" i="12"/>
  <c r="C206" i="12" s="1"/>
  <c r="E206" i="12" l="1"/>
  <c r="E26" i="12"/>
  <c r="I138" i="12" l="1"/>
  <c r="G231" i="12" l="1"/>
  <c r="F231" i="12" s="1"/>
  <c r="F185" i="12"/>
  <c r="I185" i="12"/>
  <c r="G228" i="12"/>
  <c r="I228" i="12" s="1"/>
  <c r="I182" i="12"/>
  <c r="I231" i="12" l="1"/>
  <c r="D232" i="12"/>
  <c r="J232" i="12" s="1"/>
  <c r="C186" i="12"/>
  <c r="E186" i="12" s="1"/>
  <c r="J186" i="12"/>
  <c r="C232" i="12" l="1"/>
  <c r="E232" i="12" s="1"/>
  <c r="D221" i="12"/>
  <c r="J221" i="12" s="1"/>
  <c r="F175" i="12"/>
  <c r="J175" i="12"/>
  <c r="C175" i="12"/>
  <c r="E175" i="12" s="1"/>
  <c r="D228" i="12"/>
  <c r="J228" i="12" s="1"/>
  <c r="F182" i="12"/>
  <c r="C182" i="12"/>
  <c r="E182" i="12" s="1"/>
  <c r="J182" i="12"/>
  <c r="F221" i="12" l="1"/>
  <c r="F228" i="12"/>
  <c r="C221" i="12"/>
  <c r="E221" i="12" s="1"/>
  <c r="C228" i="12"/>
  <c r="E228" i="12" s="1"/>
  <c r="J180" i="12"/>
  <c r="F180" i="12"/>
  <c r="C180" i="12"/>
  <c r="E180" i="12" s="1"/>
  <c r="D226" i="12"/>
  <c r="F226" i="12" s="1"/>
  <c r="J226" i="12" l="1"/>
  <c r="C226" i="12"/>
  <c r="E226" i="12" s="1"/>
  <c r="D229" i="12"/>
  <c r="F229" i="12" s="1"/>
  <c r="F183" i="12"/>
  <c r="J183" i="12"/>
  <c r="C183" i="12"/>
  <c r="C229" i="12" s="1"/>
  <c r="E229" i="12" s="1"/>
  <c r="J229" i="12" l="1"/>
  <c r="E183" i="12"/>
  <c r="G232" i="12" l="1"/>
  <c r="I232" i="12" s="1"/>
  <c r="I186" i="12"/>
  <c r="F232" i="12" l="1"/>
</calcChain>
</file>

<file path=xl/sharedStrings.xml><?xml version="1.0" encoding="utf-8"?>
<sst xmlns="http://schemas.openxmlformats.org/spreadsheetml/2006/main" count="2499" uniqueCount="432">
  <si>
    <t>Table 17–U.S. sugarbeet area, yield, and production, since 1980/81</t>
  </si>
  <si>
    <t>Table 14–U.S. sugarbeet crops: area planted, acres harvested, yield per acre, and production, by State and region, since 1980/81</t>
  </si>
  <si>
    <t>Table 15–U.S. sugarcane: area, yield, production, sugar output, recovery rate, and sugar yield per acre, crop years, since 1980/81</t>
  </si>
  <si>
    <t>Table 16–U.S. beet and cane sugar production (including Puerto Rico) by fiscal year and share of total, since 1969/70</t>
  </si>
  <si>
    <t>Table 18–U.S. production of beet sugar and cane sugar by State, monthly, quarterly, fiscal, and calendar year, since 1992</t>
  </si>
  <si>
    <t>Table 19–U.S. cane and beet sugar deliveries and exports, monthly, quarterly, and by fiscal and calendar year, since 1992</t>
  </si>
  <si>
    <t>Table 20b–U.S. sugar deliveries for human consumption by type of user, quarterly since 2000</t>
  </si>
  <si>
    <t xml:space="preserve">Table 22–U.S. sugar stocks held by primary distributors, by quarters, since 1990 </t>
  </si>
  <si>
    <t xml:space="preserve">Commodity   </t>
  </si>
  <si>
    <t xml:space="preserve">Total  </t>
  </si>
  <si>
    <t>month</t>
  </si>
  <si>
    <t xml:space="preserve">Refiners </t>
  </si>
  <si>
    <t>Cane</t>
  </si>
  <si>
    <t xml:space="preserve">Credit </t>
  </si>
  <si>
    <t xml:space="preserve">Beet </t>
  </si>
  <si>
    <t xml:space="preserve">U.S.  </t>
  </si>
  <si>
    <t xml:space="preserve">Refined </t>
  </si>
  <si>
    <t xml:space="preserve">Raw </t>
  </si>
  <si>
    <t xml:space="preserve">Total </t>
  </si>
  <si>
    <t xml:space="preserve">processors </t>
  </si>
  <si>
    <t xml:space="preserve">Total 2/ </t>
  </si>
  <si>
    <t xml:space="preserve">Corporation </t>
  </si>
  <si>
    <t xml:space="preserve">stocks </t>
  </si>
  <si>
    <t>1,000 short tons, raw value</t>
  </si>
  <si>
    <t>December 31</t>
  </si>
  <si>
    <t>1990</t>
  </si>
  <si>
    <t>1991</t>
  </si>
  <si>
    <t>1994</t>
  </si>
  <si>
    <t>1996</t>
  </si>
  <si>
    <t>1999</t>
  </si>
  <si>
    <t>March 31</t>
  </si>
  <si>
    <t>June 30</t>
  </si>
  <si>
    <t>September 30</t>
  </si>
  <si>
    <t xml:space="preserve">Note: Stock data include Hawaii beginning in 1992 and Puerto Rico beginning in October 1993. </t>
  </si>
  <si>
    <t xml:space="preserve">       Industrial uses</t>
  </si>
  <si>
    <t xml:space="preserve">       Nonindustrial uses</t>
  </si>
  <si>
    <t>Total</t>
  </si>
  <si>
    <t xml:space="preserve">New  </t>
  </si>
  <si>
    <t xml:space="preserve">Mid-  </t>
  </si>
  <si>
    <t xml:space="preserve">North </t>
  </si>
  <si>
    <t>Puerto</t>
  </si>
  <si>
    <t xml:space="preserve">Mid- </t>
  </si>
  <si>
    <t>England</t>
  </si>
  <si>
    <t>Atlantic</t>
  </si>
  <si>
    <t>Central</t>
  </si>
  <si>
    <t>South</t>
  </si>
  <si>
    <t>West</t>
  </si>
  <si>
    <t>Rico</t>
  </si>
  <si>
    <t>1970</t>
  </si>
  <si>
    <t>1971</t>
  </si>
  <si>
    <t>1972</t>
  </si>
  <si>
    <t>1973</t>
  </si>
  <si>
    <t>1974</t>
  </si>
  <si>
    <t xml:space="preserve">  1975 1/</t>
  </si>
  <si>
    <t xml:space="preserve">  1976 1/</t>
  </si>
  <si>
    <t xml:space="preserve">  1977 1/</t>
  </si>
  <si>
    <t xml:space="preserve">  1978 1/</t>
  </si>
  <si>
    <t xml:space="preserve">  1979 1/</t>
  </si>
  <si>
    <t xml:space="preserve">  1980 1/</t>
  </si>
  <si>
    <t xml:space="preserve">  1981 1/</t>
  </si>
  <si>
    <t>1982</t>
  </si>
  <si>
    <t>1983</t>
  </si>
  <si>
    <t>1984</t>
  </si>
  <si>
    <t>1985</t>
  </si>
  <si>
    <t>1986</t>
  </si>
  <si>
    <t>1987</t>
  </si>
  <si>
    <t>1988</t>
  </si>
  <si>
    <t>1989</t>
  </si>
  <si>
    <t>1992</t>
  </si>
  <si>
    <t>1993</t>
  </si>
  <si>
    <t>1995</t>
  </si>
  <si>
    <t>1997</t>
  </si>
  <si>
    <t>1998</t>
  </si>
  <si>
    <t>2000</t>
  </si>
  <si>
    <t>Jan.</t>
  </si>
  <si>
    <t>Feb.</t>
  </si>
  <si>
    <t>Mar.</t>
  </si>
  <si>
    <t>1st Q.</t>
  </si>
  <si>
    <t>Apr.</t>
  </si>
  <si>
    <t>May</t>
  </si>
  <si>
    <t>2nd Q.</t>
  </si>
  <si>
    <t>Aug.</t>
  </si>
  <si>
    <t>Sep.</t>
  </si>
  <si>
    <t>3rd Q.</t>
  </si>
  <si>
    <t>4th Q.</t>
  </si>
  <si>
    <t>Oct.</t>
  </si>
  <si>
    <t>Nov.</t>
  </si>
  <si>
    <t>Dec.</t>
  </si>
  <si>
    <t xml:space="preserve"> </t>
  </si>
  <si>
    <t>Jun.</t>
  </si>
  <si>
    <t>Jul.</t>
  </si>
  <si>
    <t xml:space="preserve">Bakery, </t>
  </si>
  <si>
    <t xml:space="preserve">Confectionery </t>
  </si>
  <si>
    <t xml:space="preserve">Ice cream </t>
  </si>
  <si>
    <t xml:space="preserve">Canned, </t>
  </si>
  <si>
    <t xml:space="preserve">All other </t>
  </si>
  <si>
    <t xml:space="preserve">Non- </t>
  </si>
  <si>
    <t xml:space="preserve">Subtotal </t>
  </si>
  <si>
    <t xml:space="preserve">Hotels, </t>
  </si>
  <si>
    <t xml:space="preserve">Wholesale </t>
  </si>
  <si>
    <t xml:space="preserve">Retail </t>
  </si>
  <si>
    <t xml:space="preserve">Year/ </t>
  </si>
  <si>
    <t xml:space="preserve"> cereal, </t>
  </si>
  <si>
    <t xml:space="preserve">and related </t>
  </si>
  <si>
    <t xml:space="preserve">and dairy </t>
  </si>
  <si>
    <t xml:space="preserve">bottled, </t>
  </si>
  <si>
    <t xml:space="preserve">food </t>
  </si>
  <si>
    <t xml:space="preserve">industrial </t>
  </si>
  <si>
    <t xml:space="preserve">restaurants, </t>
  </si>
  <si>
    <t xml:space="preserve">grocers, </t>
  </si>
  <si>
    <t xml:space="preserve">U.S. </t>
  </si>
  <si>
    <t xml:space="preserve">quarter </t>
  </si>
  <si>
    <t xml:space="preserve">and allied </t>
  </si>
  <si>
    <t xml:space="preserve">products </t>
  </si>
  <si>
    <t xml:space="preserve">and frozen </t>
  </si>
  <si>
    <t xml:space="preserve">uses </t>
  </si>
  <si>
    <t xml:space="preserve">use </t>
  </si>
  <si>
    <t xml:space="preserve">and </t>
  </si>
  <si>
    <t xml:space="preserve">jobbers, </t>
  </si>
  <si>
    <t xml:space="preserve">chain </t>
  </si>
  <si>
    <t xml:space="preserve">foods </t>
  </si>
  <si>
    <t xml:space="preserve">institutions </t>
  </si>
  <si>
    <t xml:space="preserve">sugar dealers </t>
  </si>
  <si>
    <t xml:space="preserve">stores </t>
  </si>
  <si>
    <t xml:space="preserve">2/ </t>
  </si>
  <si>
    <t>2001</t>
  </si>
  <si>
    <t>I</t>
  </si>
  <si>
    <t>II</t>
  </si>
  <si>
    <t>III</t>
  </si>
  <si>
    <t>IV</t>
  </si>
  <si>
    <t>2017</t>
  </si>
  <si>
    <t>2018</t>
  </si>
  <si>
    <t>2019</t>
  </si>
  <si>
    <t>2020</t>
  </si>
  <si>
    <t>2021</t>
  </si>
  <si>
    <t xml:space="preserve">Oct. </t>
  </si>
  <si>
    <t xml:space="preserve">2/ Includes deliveries to Government agencies.  </t>
  </si>
  <si>
    <t xml:space="preserve">Year </t>
  </si>
  <si>
    <t>Year</t>
  </si>
  <si>
    <t xml:space="preserve">Jan. </t>
  </si>
  <si>
    <t xml:space="preserve">Feb. </t>
  </si>
  <si>
    <t xml:space="preserve">Mar. </t>
  </si>
  <si>
    <t xml:space="preserve">Apr. </t>
  </si>
  <si>
    <t xml:space="preserve">May </t>
  </si>
  <si>
    <t xml:space="preserve">June </t>
  </si>
  <si>
    <t xml:space="preserve">July </t>
  </si>
  <si>
    <t xml:space="preserve">Aug. </t>
  </si>
  <si>
    <t xml:space="preserve">Sep. </t>
  </si>
  <si>
    <t xml:space="preserve">Nov. </t>
  </si>
  <si>
    <t xml:space="preserve">Dec. </t>
  </si>
  <si>
    <t>Fiscal</t>
  </si>
  <si>
    <t>Calendar</t>
  </si>
  <si>
    <t>N/A</t>
  </si>
  <si>
    <t>Imports to non-reporters</t>
  </si>
  <si>
    <t xml:space="preserve">Non-human: Polyhydric alcohol, livestock feed use, ethanol producers </t>
  </si>
  <si>
    <t>Total U.S. sugar deliveries 1/</t>
  </si>
  <si>
    <t>U.S. sugar exports</t>
  </si>
  <si>
    <t xml:space="preserve">Totals may not add due to rounding. </t>
  </si>
  <si>
    <t xml:space="preserve">     Jan.</t>
  </si>
  <si>
    <t xml:space="preserve">    Feb.</t>
  </si>
  <si>
    <t xml:space="preserve">      Mar.</t>
  </si>
  <si>
    <t xml:space="preserve">    Apr.</t>
  </si>
  <si>
    <t xml:space="preserve">     May</t>
  </si>
  <si>
    <t xml:space="preserve">    June</t>
  </si>
  <si>
    <t xml:space="preserve">     July</t>
  </si>
  <si>
    <t xml:space="preserve">     Aug.</t>
  </si>
  <si>
    <t xml:space="preserve">     Oct.</t>
  </si>
  <si>
    <t xml:space="preserve">     Nov.</t>
  </si>
  <si>
    <t xml:space="preserve">    Dec.  </t>
  </si>
  <si>
    <t xml:space="preserve">  1st Q.</t>
  </si>
  <si>
    <t xml:space="preserve">  2nd Q.</t>
  </si>
  <si>
    <t xml:space="preserve"> 3rd Q.</t>
  </si>
  <si>
    <t xml:space="preserve">  4th Q.</t>
  </si>
  <si>
    <t xml:space="preserve">   year</t>
  </si>
  <si>
    <t>year</t>
  </si>
  <si>
    <t>Florida:</t>
  </si>
  <si>
    <t>Louisiana:</t>
  </si>
  <si>
    <t>Texas:</t>
  </si>
  <si>
    <t>Hawaii: 1/</t>
  </si>
  <si>
    <t>Puerto Rico:  1/</t>
  </si>
  <si>
    <t>Total U.S. cane sugar:</t>
  </si>
  <si>
    <t>Total beet and cane:</t>
  </si>
  <si>
    <t>Note: This table commenced in October 1991 when USDA began reporting monthly production data. Totals may not add due to rounding.</t>
  </si>
  <si>
    <t>Crop</t>
  </si>
  <si>
    <t xml:space="preserve">Yield per </t>
  </si>
  <si>
    <t>Sugar yield per</t>
  </si>
  <si>
    <t xml:space="preserve">Planted </t>
  </si>
  <si>
    <t xml:space="preserve">Harvested </t>
  </si>
  <si>
    <t xml:space="preserve">Sugarbeets </t>
  </si>
  <si>
    <t xml:space="preserve">harvested </t>
  </si>
  <si>
    <t xml:space="preserve">Sugar </t>
  </si>
  <si>
    <t xml:space="preserve">Recovery </t>
  </si>
  <si>
    <t>harvested</t>
  </si>
  <si>
    <t xml:space="preserve">acre </t>
  </si>
  <si>
    <t xml:space="preserve">rate </t>
  </si>
  <si>
    <t>acre</t>
  </si>
  <si>
    <t>1,000 short tons</t>
  </si>
  <si>
    <t>Tons</t>
  </si>
  <si>
    <t>Percent</t>
  </si>
  <si>
    <t>1980/81</t>
  </si>
  <si>
    <t>1981/82</t>
  </si>
  <si>
    <t>1982/83</t>
  </si>
  <si>
    <t>1983/84</t>
  </si>
  <si>
    <t>1984/85</t>
  </si>
  <si>
    <t>1985/86</t>
  </si>
  <si>
    <t>1986/87</t>
  </si>
  <si>
    <t>1987/88</t>
  </si>
  <si>
    <t>1988/89</t>
  </si>
  <si>
    <t>1989/90</t>
  </si>
  <si>
    <t>1990/91</t>
  </si>
  <si>
    <t>1991/92</t>
  </si>
  <si>
    <t>1992/93</t>
  </si>
  <si>
    <t>1993/94</t>
  </si>
  <si>
    <t>1994/95</t>
  </si>
  <si>
    <t>1995/96</t>
  </si>
  <si>
    <t>1996/97</t>
  </si>
  <si>
    <t>1997/98</t>
  </si>
  <si>
    <t>1998/99</t>
  </si>
  <si>
    <t xml:space="preserve">1999/00 </t>
  </si>
  <si>
    <t xml:space="preserve">2000/01 </t>
  </si>
  <si>
    <t xml:space="preserve">2001/02 </t>
  </si>
  <si>
    <t xml:space="preserve">2002/03 </t>
  </si>
  <si>
    <t>2003/04</t>
  </si>
  <si>
    <t>2004/05</t>
  </si>
  <si>
    <t>2005/06</t>
  </si>
  <si>
    <t>2006/07</t>
  </si>
  <si>
    <t>2007/08</t>
  </si>
  <si>
    <t>2008/09</t>
  </si>
  <si>
    <t>2009/10</t>
  </si>
  <si>
    <t>2010/11</t>
  </si>
  <si>
    <t>2011/12</t>
  </si>
  <si>
    <t>2012/13</t>
  </si>
  <si>
    <t>2013/14</t>
  </si>
  <si>
    <t>2014/15</t>
  </si>
  <si>
    <t>2015/16</t>
  </si>
  <si>
    <t>2016/17</t>
  </si>
  <si>
    <t>2017/18</t>
  </si>
  <si>
    <t>2018/19</t>
  </si>
  <si>
    <t>2019/20</t>
  </si>
  <si>
    <t>2020/21</t>
  </si>
  <si>
    <t>Share of production</t>
  </si>
  <si>
    <t>Beet and</t>
  </si>
  <si>
    <t>Beet</t>
  </si>
  <si>
    <t>cane</t>
  </si>
  <si>
    <t>1969/70</t>
  </si>
  <si>
    <t>1970/71</t>
  </si>
  <si>
    <t>1971/72</t>
  </si>
  <si>
    <t>1972/73</t>
  </si>
  <si>
    <t>1973/74</t>
  </si>
  <si>
    <t>1974/75</t>
  </si>
  <si>
    <t>1975/76</t>
  </si>
  <si>
    <t>1976/77</t>
  </si>
  <si>
    <t>1977/78</t>
  </si>
  <si>
    <t>1978/79</t>
  </si>
  <si>
    <t>1979/80</t>
  </si>
  <si>
    <t xml:space="preserve">1990/91 </t>
  </si>
  <si>
    <t xml:space="preserve">1991/92 </t>
  </si>
  <si>
    <t xml:space="preserve">1992/93 </t>
  </si>
  <si>
    <t xml:space="preserve">1993/94 </t>
  </si>
  <si>
    <t xml:space="preserve">1995/96 </t>
  </si>
  <si>
    <t xml:space="preserve">1996/97 </t>
  </si>
  <si>
    <t xml:space="preserve">1997/98 </t>
  </si>
  <si>
    <t xml:space="preserve">1998/99  </t>
  </si>
  <si>
    <t xml:space="preserve">1999/00  </t>
  </si>
  <si>
    <t xml:space="preserve">2003/04 </t>
  </si>
  <si>
    <t xml:space="preserve">2004/05 </t>
  </si>
  <si>
    <t xml:space="preserve">2005/06 </t>
  </si>
  <si>
    <t xml:space="preserve">2006/07 </t>
  </si>
  <si>
    <t xml:space="preserve">2007/08 </t>
  </si>
  <si>
    <t xml:space="preserve">2008/09 </t>
  </si>
  <si>
    <t xml:space="preserve">2009/10 </t>
  </si>
  <si>
    <t xml:space="preserve">2011/12 </t>
  </si>
  <si>
    <t xml:space="preserve">2012/13 </t>
  </si>
  <si>
    <t xml:space="preserve">Area </t>
  </si>
  <si>
    <t xml:space="preserve">Percent </t>
  </si>
  <si>
    <t xml:space="preserve">Sugarcane </t>
  </si>
  <si>
    <t xml:space="preserve"> for </t>
  </si>
  <si>
    <t xml:space="preserve">sugar </t>
  </si>
  <si>
    <t xml:space="preserve">yield for </t>
  </si>
  <si>
    <t xml:space="preserve">production </t>
  </si>
  <si>
    <t xml:space="preserve">yield per </t>
  </si>
  <si>
    <t xml:space="preserve">seed </t>
  </si>
  <si>
    <t xml:space="preserve">for sugar </t>
  </si>
  <si>
    <t xml:space="preserve">acre 2/ </t>
  </si>
  <si>
    <t xml:space="preserve">1,000 acres </t>
  </si>
  <si>
    <t xml:space="preserve">Tons/acre </t>
  </si>
  <si>
    <t xml:space="preserve">1,000 tons, </t>
  </si>
  <si>
    <t xml:space="preserve">Short tons, </t>
  </si>
  <si>
    <t xml:space="preserve">short tons </t>
  </si>
  <si>
    <t xml:space="preserve">raw value </t>
  </si>
  <si>
    <t>Florida</t>
  </si>
  <si>
    <t>1999/00</t>
  </si>
  <si>
    <t>2000/01</t>
  </si>
  <si>
    <t>2001/02</t>
  </si>
  <si>
    <t>2002/03</t>
  </si>
  <si>
    <t>Louisiana</t>
  </si>
  <si>
    <t xml:space="preserve">Total cane </t>
  </si>
  <si>
    <t>State and region</t>
  </si>
  <si>
    <t xml:space="preserve">Great Lakes: </t>
  </si>
  <si>
    <t xml:space="preserve">  Michigan </t>
  </si>
  <si>
    <t xml:space="preserve">  Ohio </t>
  </si>
  <si>
    <t xml:space="preserve">    Total </t>
  </si>
  <si>
    <t>Upper Midwest:</t>
  </si>
  <si>
    <t xml:space="preserve">  Minnesota </t>
  </si>
  <si>
    <t xml:space="preserve">  North Dakota </t>
  </si>
  <si>
    <t xml:space="preserve">Great Plains: </t>
  </si>
  <si>
    <t xml:space="preserve">  Colorado </t>
  </si>
  <si>
    <t xml:space="preserve">  Montana </t>
  </si>
  <si>
    <t xml:space="preserve">  Nebraska </t>
  </si>
  <si>
    <t xml:space="preserve">  New Mexico </t>
  </si>
  <si>
    <t xml:space="preserve">  Texas</t>
  </si>
  <si>
    <t xml:space="preserve">  Wyoming </t>
  </si>
  <si>
    <t xml:space="preserve">Far West: </t>
  </si>
  <si>
    <t xml:space="preserve">  California </t>
  </si>
  <si>
    <t xml:space="preserve">  Idaho </t>
  </si>
  <si>
    <t xml:space="preserve">  Oregon </t>
  </si>
  <si>
    <t xml:space="preserve">  Washington </t>
  </si>
  <si>
    <t xml:space="preserve">    Others 2/ </t>
  </si>
  <si>
    <t xml:space="preserve">    U.S. total </t>
  </si>
  <si>
    <t xml:space="preserve">Upper Midwest: </t>
  </si>
  <si>
    <t xml:space="preserve">  Colorado</t>
  </si>
  <si>
    <t xml:space="preserve">  New Mexico  </t>
  </si>
  <si>
    <t xml:space="preserve">  Texas </t>
  </si>
  <si>
    <t xml:space="preserve">  Washington  </t>
  </si>
  <si>
    <t>Great Lakes:</t>
  </si>
  <si>
    <r>
      <t xml:space="preserve">1/ Fiscal year totals prior to 1994 differ from supply and use (table ) since </t>
    </r>
    <r>
      <rPr>
        <i/>
        <sz val="8"/>
        <color indexed="8"/>
        <rFont val="Arial"/>
        <family val="2"/>
      </rPr>
      <t>World Agricultural Supply and Demand Estimates</t>
    </r>
    <r>
      <rPr>
        <sz val="8"/>
        <color indexed="8"/>
        <rFont val="Arial"/>
        <family val="2"/>
      </rPr>
      <t xml:space="preserve"> includes Puerto Rico. </t>
    </r>
  </si>
  <si>
    <t>Table 20a–U.S. sugar deliveries for human consumption by type of user, calendar year, since 1949</t>
  </si>
  <si>
    <t>Table 21–U.S. sugar deliveries: industrial and nonindustrial uses, by region, since 1970</t>
  </si>
  <si>
    <t>Table 16–U.S. beet and cane sugar production (including Puerto Rico) by fiscal year and share of total</t>
  </si>
  <si>
    <t xml:space="preserve">1/ Beginning stocks, approximately first day of month shown. Latest quarter is preliminary. </t>
  </si>
  <si>
    <t xml:space="preserve">2/ May not add due to rounding. </t>
  </si>
  <si>
    <t>U.S. sugar crop production and sugar production, deliveries, and stocks</t>
  </si>
  <si>
    <t>Contact: Vidalina Abadam at USDA, Economic Research Service.</t>
  </si>
  <si>
    <t>Area</t>
  </si>
  <si>
    <t>for</t>
  </si>
  <si>
    <t>sugar</t>
  </si>
  <si>
    <t>U.S. beet sugar: 2/</t>
  </si>
  <si>
    <t xml:space="preserve">2/ Beet sugar production is from domestic and imported sugar beets. </t>
  </si>
  <si>
    <t>total</t>
  </si>
  <si>
    <t xml:space="preserve">2/ Yield per acre harvested is for sugar only (excludes sugarcane for seed).  </t>
  </si>
  <si>
    <t xml:space="preserve">N/A = not available; Q. = quarter. </t>
  </si>
  <si>
    <t>area</t>
  </si>
  <si>
    <t>Crop year</t>
  </si>
  <si>
    <t>Fiscal year and</t>
  </si>
  <si>
    <t>est. = estimated; proj. = projected.</t>
  </si>
  <si>
    <t>Beverages</t>
  </si>
  <si>
    <t>deliveries</t>
  </si>
  <si>
    <t xml:space="preserve">nonindustrial </t>
  </si>
  <si>
    <t>2021/22</t>
  </si>
  <si>
    <t>N/A = not available; est. = estimated; proj. = projected.</t>
  </si>
  <si>
    <t xml:space="preserve">2021/22 </t>
  </si>
  <si>
    <t>U.S. beet sugar for domestic consumption</t>
  </si>
  <si>
    <t>Cane sugar for domestic consumption</t>
  </si>
  <si>
    <t>Total sugar for domestic consumption</t>
  </si>
  <si>
    <t>Re-exported in products</t>
  </si>
  <si>
    <t>Note: Does not include Hawaii until fourth-quarter 1991. Does not include Puerto Rico until fourth-quarter 1993. To convert to raw value, multiply by 1.07.</t>
  </si>
  <si>
    <t>Note: To convert to raw value, multiply by 1.07.</t>
  </si>
  <si>
    <t xml:space="preserve">Note: This table commenced in October 1991 when USDA began reporting monthly production data. Puerto Rico data were added beginning October 1993.  </t>
  </si>
  <si>
    <t>Sugar total</t>
  </si>
  <si>
    <t>STRV = short tons, raw value; N/A = not available; est. = estimated; proj. = projected.</t>
  </si>
  <si>
    <t>1,000 STRV</t>
  </si>
  <si>
    <t>STRV per acre</t>
  </si>
  <si>
    <t>Sugarbeets sliced</t>
  </si>
  <si>
    <t>sugarbeets sliced</t>
  </si>
  <si>
    <t>Sugar</t>
  </si>
  <si>
    <t>from</t>
  </si>
  <si>
    <t xml:space="preserve">from </t>
  </si>
  <si>
    <t>molasses</t>
  </si>
  <si>
    <t>Recovery rate</t>
  </si>
  <si>
    <t xml:space="preserve">    Sep.</t>
  </si>
  <si>
    <t>1/ Crop year relates to the year of intended harvest except for overwintered spring-planted beets in California. For example, the 1990/91 crop year indicates that the sugarbeets were harvested in 1990. Except in California, crop year for sugarbeets is August–July.</t>
  </si>
  <si>
    <t xml:space="preserve">Fiscal year (October–September) </t>
  </si>
  <si>
    <t>Last updated: 2/15/2024.</t>
  </si>
  <si>
    <t>N/A = not available; Q. = quarter.</t>
  </si>
  <si>
    <t>Sugarbeet shrink</t>
  </si>
  <si>
    <t>Hawaii 3/</t>
  </si>
  <si>
    <t>3/ Hawaii no longer produces sugar reported through the U.S. sugar program.</t>
  </si>
  <si>
    <t>2024/25 proj.</t>
  </si>
  <si>
    <t>2023/24 est.</t>
  </si>
  <si>
    <t xml:space="preserve">2022/23 </t>
  </si>
  <si>
    <t xml:space="preserve">2024/25 proj. </t>
  </si>
  <si>
    <t>2022/23</t>
  </si>
  <si>
    <t>4/ Texas no longer produces sugar reported through the U.S. sugar program.</t>
  </si>
  <si>
    <t>Texas 4/</t>
  </si>
  <si>
    <t>2/ Includes Arizona and Washington prior to 1996. Does not include New Mexico or Texas as these two States are included in the Great Plains region.</t>
  </si>
  <si>
    <t>Monthly and quarterly:</t>
  </si>
  <si>
    <t>Calendar year:</t>
  </si>
  <si>
    <r>
      <t xml:space="preserve">Source: USDA, Economic Research Service, based on data from USDA, National Agricultural Statistics Service (NASS), </t>
    </r>
    <r>
      <rPr>
        <i/>
        <sz val="8"/>
        <color indexed="8"/>
        <rFont val="Arial"/>
        <family val="2"/>
      </rPr>
      <t>Crop Production</t>
    </r>
    <r>
      <rPr>
        <sz val="8"/>
        <color indexed="8"/>
        <rFont val="Arial"/>
        <family val="2"/>
      </rPr>
      <t>.</t>
    </r>
  </si>
  <si>
    <t xml:space="preserve">Source: USDA, Economic Research Service, based on data from USDA, National Agricultural Statistics Service (NASS); USDA, Farm Service Agency; and the USDA, World Agricultural Outlook Board. </t>
  </si>
  <si>
    <r>
      <t xml:space="preserve">Source: USDA, Economic Research Service, based on data from USDA, Farm Service Agency, </t>
    </r>
    <r>
      <rPr>
        <i/>
        <sz val="8"/>
        <color indexed="8"/>
        <rFont val="Arial"/>
        <family val="2"/>
      </rPr>
      <t>Sweetener Market Data</t>
    </r>
    <r>
      <rPr>
        <sz val="8"/>
        <color indexed="8"/>
        <rFont val="Arial"/>
        <family val="2"/>
      </rPr>
      <t>.</t>
    </r>
  </si>
  <si>
    <t xml:space="preserve">Source: USDA, Economic Research Service, based on data from USDA, National Agricultural Statistics Service; USDA, Farm Service Agency. </t>
  </si>
  <si>
    <t xml:space="preserve">1/ Totals may not add due to unspecified regional deliveries.  Includes sugar delivered under the  U.S. Re-export programs. </t>
  </si>
  <si>
    <r>
      <t xml:space="preserve">Source: USDA, Economic Research Service, based on data from USDA, National Agricultural Statistics Service; USDA, Farm Service Agency, </t>
    </r>
    <r>
      <rPr>
        <i/>
        <sz val="8"/>
        <color indexed="8"/>
        <rFont val="Arial"/>
        <family val="2"/>
      </rPr>
      <t>Sweetener Market Data</t>
    </r>
    <r>
      <rPr>
        <sz val="8"/>
        <color indexed="8"/>
        <rFont val="Arial"/>
        <family val="2"/>
      </rPr>
      <t>.</t>
    </r>
  </si>
  <si>
    <r>
      <t xml:space="preserve">Source: USDA, Economic Research Service, based on data from USDA, National Agricultural Statistics Service; USDA, Farm Service Agency, </t>
    </r>
    <r>
      <rPr>
        <i/>
        <sz val="8"/>
        <color indexed="8"/>
        <rFont val="Arial"/>
        <family val="2"/>
      </rPr>
      <t>Sweetener Market Data.</t>
    </r>
  </si>
  <si>
    <t>Source: USDA, Economic Research Service, based on data from USDA, National Agricultural Statistics Service; USDA, Farm Service Agency; Hawaiian Sugar Planters' Association.</t>
  </si>
  <si>
    <t xml:space="preserve">1/ Does not include Hawaii until fourth-quarter 1991. Does not include Puerto Rico until fourth-quarter 1993. Includes sugar delivered under the U.S. Re-export programs. </t>
  </si>
  <si>
    <r>
      <t xml:space="preserve">Note: Except for total area and area for seed which come from NASS, the 2024/25 values are projections are from USDA, World Agricultural Outlook Board, </t>
    </r>
    <r>
      <rPr>
        <i/>
        <sz val="8"/>
        <rFont val="Arial"/>
        <family val="2"/>
      </rPr>
      <t>World Agricultural Supply and Demand Estimates</t>
    </r>
    <r>
      <rPr>
        <sz val="8"/>
        <rFont val="Arial"/>
        <family val="2"/>
      </rPr>
      <t xml:space="preserve"> (</t>
    </r>
    <r>
      <rPr>
        <i/>
        <sz val="8"/>
        <rFont val="Arial"/>
        <family val="2"/>
      </rPr>
      <t>WASDE</t>
    </r>
    <r>
      <rPr>
        <sz val="8"/>
        <rFont val="Arial"/>
        <family val="2"/>
      </rPr>
      <t>).</t>
    </r>
  </si>
  <si>
    <t>1/ Hawaii, Puerto Rico, and Texas no longer produce sugar reported through the U.S. sugar program.</t>
  </si>
  <si>
    <t>1/ Does not include Hawaii until fourth-quarter 1991. Does not include Puerto Rico until fourth-quarter 1993. Includes sugar delivered under the U.S. Re-export programs.</t>
  </si>
  <si>
    <r>
      <t xml:space="preserve">Note: USDA, NASS does not usually provide sugarbeet updates in its December </t>
    </r>
    <r>
      <rPr>
        <i/>
        <sz val="8"/>
        <color rgb="FF000000"/>
        <rFont val="Arial"/>
        <family val="2"/>
      </rPr>
      <t>Crop Production</t>
    </r>
    <r>
      <rPr>
        <sz val="8"/>
        <color indexed="8"/>
        <rFont val="Arial"/>
        <family val="2"/>
      </rPr>
      <t xml:space="preserve"> report but will publish final numbers on acreage and sugarbeet yield in its </t>
    </r>
    <r>
      <rPr>
        <i/>
        <sz val="8"/>
        <color rgb="FF000000"/>
        <rFont val="Arial"/>
        <family val="2"/>
      </rPr>
      <t>Crop Production 2024 Summary</t>
    </r>
    <r>
      <rPr>
        <sz val="8"/>
        <color indexed="8"/>
        <rFont val="Arial"/>
        <family val="2"/>
      </rPr>
      <t xml:space="preserve"> to be released on January 10, 2025.</t>
    </r>
  </si>
  <si>
    <t>Table 14–U.S. sugarbeet crops: area planted (1,000 acres), area harvested (1,000 acres), yield per acre (tons per acre), and production (1,000 short tons), by State and region, by crop year 1/</t>
  </si>
  <si>
    <t>1,000 acres</t>
  </si>
  <si>
    <t>Table 18–U.S. production of beet sugar and cane sugar by State, monthly, quarterly, fiscal, and calendar year (1,000 short tons, raw value)</t>
  </si>
  <si>
    <t>Table 19–U.S. cane and beet sugar deliveries and exports, monthly, quarterly, and by fiscal and calendar year (1,000 short tons, raw value)</t>
  </si>
  <si>
    <t>Table 20a–U.S. sugar deliveries for human consumption by type of user, by calendar year (1,000 short tons, refined value) 1/</t>
  </si>
  <si>
    <t>Table 20b–U.S. sugar deliveries for human consumption by type of user, monthly and quarterly (1,000 short tons, refined value) 1/</t>
  </si>
  <si>
    <t>Table 21–U.S. sugar deliveries: industrial and nonindustrial uses by region (1,000 short tons, refined value) 1/</t>
  </si>
  <si>
    <t xml:space="preserve">Table 22–U.S. sugar stocks held by primary distributors, by quarters (1,000 short tons, raw value) 1/  </t>
  </si>
  <si>
    <t>Last updated: 1/17/2025.</t>
  </si>
  <si>
    <t>production (fiscal year)</t>
  </si>
  <si>
    <t>Area planted (1,000 acres)</t>
  </si>
  <si>
    <t>Area harvested (1,000 acres)</t>
  </si>
  <si>
    <t>Yield per acre (tons per acre)</t>
  </si>
  <si>
    <t>Sugarbeet production (1,000 short tons)</t>
  </si>
  <si>
    <t>(fiscal year)</t>
  </si>
  <si>
    <t>Early sugar production</t>
  </si>
  <si>
    <t>(August–September)</t>
  </si>
  <si>
    <t>Table 17–U.S. sugarbeet area, yield, and production, by crop year and fiscal year 1/</t>
  </si>
  <si>
    <t>Sugar total 2/</t>
  </si>
  <si>
    <t>imported beets 3/</t>
  </si>
  <si>
    <t xml:space="preserve">1/ The only variable that is in fiscal year basis is the "Sugar total (fiscal year)", which is the last column. </t>
  </si>
  <si>
    <t xml:space="preserve">2/ The crop year basis sugar total is also equal to the sum of "sugar from sugarbeets sliced" plus "sugar from molasses". </t>
  </si>
  <si>
    <t xml:space="preserve">3/ Sugar from imported beets are already included in the crop year sugar production when the crop year is over. This component is separated only for projection purposes and included in the total once the full crop year slice is available. </t>
  </si>
  <si>
    <r>
      <t xml:space="preserve">Source: USDA, Economic Research Service, based on data from USDA, National Agricultural Statistics Service, </t>
    </r>
    <r>
      <rPr>
        <i/>
        <sz val="8"/>
        <rFont val="Arial"/>
        <family val="2"/>
      </rPr>
      <t>Sugar Market Statistics</t>
    </r>
    <r>
      <rPr>
        <sz val="8"/>
        <rFont val="Arial"/>
        <family val="2"/>
      </rPr>
      <t xml:space="preserve"> and USDA, Farm Service Agency, </t>
    </r>
    <r>
      <rPr>
        <i/>
        <sz val="8"/>
        <rFont val="Arial"/>
        <family val="2"/>
      </rPr>
      <t>Sweetener Market Data</t>
    </r>
    <r>
      <rPr>
        <sz val="8"/>
        <rFont val="Arial"/>
        <family val="2"/>
      </rPr>
      <t>.</t>
    </r>
  </si>
  <si>
    <r>
      <t xml:space="preserve">Source: USDA, Economic Research Service, based on data from USDA, National Agricultural Statistics Service (NASS); USDA, Farm Service Agency, </t>
    </r>
    <r>
      <rPr>
        <i/>
        <sz val="8"/>
        <rFont val="Arial"/>
        <family val="2"/>
      </rPr>
      <t xml:space="preserve">Sweetener Market Data; USDA, World Agricultural Outlook Board, </t>
    </r>
    <r>
      <rPr>
        <sz val="8"/>
        <rFont val="Arial"/>
        <family val="2"/>
      </rPr>
      <t>World Agricultural Supply and Demand Estimates</t>
    </r>
    <r>
      <rPr>
        <i/>
        <sz val="8"/>
        <rFont val="Arial"/>
        <family val="2"/>
      </rPr>
      <t xml:space="preserve"> (</t>
    </r>
    <r>
      <rPr>
        <sz val="8"/>
        <rFont val="Arial"/>
        <family val="2"/>
      </rPr>
      <t>WASDE</t>
    </r>
    <r>
      <rPr>
        <i/>
        <sz val="8"/>
        <rFont val="Arial"/>
        <family val="2"/>
      </rPr>
      <t xml:space="preserve">); USDA, Foreign Agricultural Service, </t>
    </r>
    <r>
      <rPr>
        <sz val="8"/>
        <rFont val="Arial"/>
        <family val="2"/>
      </rPr>
      <t>Production, Supply, and Distribution</t>
    </r>
    <r>
      <rPr>
        <i/>
        <sz val="8"/>
        <rFont val="Arial"/>
        <family val="2"/>
      </rPr>
      <t xml:space="preserve"> (</t>
    </r>
    <r>
      <rPr>
        <sz val="8"/>
        <rFont val="Arial"/>
        <family val="2"/>
      </rPr>
      <t>PSD</t>
    </r>
    <r>
      <rPr>
        <i/>
        <sz val="8"/>
        <rFont val="Arial"/>
        <family val="2"/>
      </rPr>
      <t>) database.</t>
    </r>
  </si>
  <si>
    <t>Table 15–U.S. sugarcane: area, yield, production, sugar output, recovery rate, and sugar yield per acre, by crop year and fiscal year (Louisiana only) 1/</t>
  </si>
  <si>
    <t xml:space="preserve">Early sugar production </t>
  </si>
  <si>
    <t>in September</t>
  </si>
  <si>
    <t>(Lousiana only)</t>
  </si>
  <si>
    <t xml:space="preserve">1/ Crop year is October–September for Florida and Texas, which is equal to fiscal year. Crop year is September–August for Louisiana, thus fiscal year basis is provided. Crop year for Hawaii is the calendar year. Fiscal year is October–September for all States. </t>
  </si>
  <si>
    <t xml:space="preserve">est. = estimated; proj. = projected; N/A = not applicable. </t>
  </si>
  <si>
    <t>production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</si>
</sst>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3">
    <numFmt numFmtId="43" formatCode="_(* #,##0.00_);_(* \(#,##0.00\);_(* &quot;-&quot;??_);_(@_)"/>
    <numFmt numFmtId="164" formatCode="0.0000000000000"/>
    <numFmt numFmtId="165" formatCode="#,##0_______)"/>
    <numFmt numFmtId="166" formatCode="#,##0_____)"/>
    <numFmt numFmtId="167" formatCode="#,##0___)"/>
    <numFmt numFmtId="168" formatCode="#,##0.000___)"/>
    <numFmt numFmtId="169" formatCode="#,##0.000"/>
    <numFmt numFmtId="170" formatCode="#,##0.0"/>
    <numFmt numFmtId="171" formatCode="0.0"/>
    <numFmt numFmtId="172" formatCode="#,##0___________)"/>
    <numFmt numFmtId="173" formatCode="#,##0.0_____________)"/>
    <numFmt numFmtId="174" formatCode="#,##0.00_____________)"/>
    <numFmt numFmtId="175" formatCode="0.0___________)"/>
    <numFmt numFmtId="176" formatCode="0_____________)"/>
    <numFmt numFmtId="177" formatCode="#,##0.0_____)"/>
    <numFmt numFmtId="178" formatCode="0.0_________)"/>
    <numFmt numFmtId="179" formatCode="0.00_____)"/>
    <numFmt numFmtId="180" formatCode="0.00_______)"/>
    <numFmt numFmtId="181" formatCode="#,##0.0___)"/>
    <numFmt numFmtId="182" formatCode="#,##0.0000"/>
    <numFmt numFmtId="183" formatCode="0.0000"/>
    <numFmt numFmtId="184" formatCode="#,##0.000___________)"/>
    <numFmt numFmtId="189" formatCode="_(* #,##0_);_(* \(#,##0\);_(* &quot;-&quot;??_);_(@_)"/>
  </numFmts>
  <fonts count="21" x14ac:knownFonts="1">
    <font>
      <sz val="11"/>
      <color theme="1"/>
      <name val="Calibri"/>
      <family val="2"/>
      <scheme val="minor"/>
    </font>
    <font>
      <sz val="10"/>
      <name val="Arial"/>
      <family val="2"/>
    </font>
    <font>
      <b/>
      <sz val="10"/>
      <name val="Arial"/>
      <family val="2"/>
    </font>
    <font>
      <sz val="8"/>
      <name val="Arial"/>
      <family val="2"/>
    </font>
    <font>
      <i/>
      <sz val="8"/>
      <name val="Arial"/>
      <family val="2"/>
    </font>
    <font>
      <u/>
      <sz val="11"/>
      <color theme="10"/>
      <name val="Calibri"/>
      <family val="2"/>
      <scheme val="minor"/>
    </font>
    <font>
      <sz val="10"/>
      <color theme="1"/>
      <name val="Arial"/>
      <family val="2"/>
    </font>
    <font>
      <sz val="8"/>
      <color indexed="8"/>
      <name val="Arial"/>
      <family val="2"/>
    </font>
    <font>
      <i/>
      <sz val="8"/>
      <color indexed="8"/>
      <name val="Arial"/>
      <family val="2"/>
    </font>
    <font>
      <sz val="8"/>
      <color theme="1"/>
      <name val="Arial"/>
      <family val="2"/>
    </font>
    <font>
      <u/>
      <sz val="10"/>
      <color theme="10"/>
      <name val="Arial"/>
      <family val="2"/>
    </font>
    <font>
      <sz val="7"/>
      <color indexed="8"/>
      <name val="Arial"/>
      <family val="2"/>
    </font>
    <font>
      <i/>
      <sz val="8"/>
      <color rgb="FF000000"/>
      <name val="Arial"/>
      <family val="2"/>
    </font>
    <font>
      <sz val="11"/>
      <color theme="1"/>
      <name val="Calibri"/>
      <family val="2"/>
      <scheme val="minor"/>
    </font>
    <font>
      <sz val="7"/>
      <name val="Arial"/>
      <family val="2"/>
    </font>
    <font>
      <sz val="8"/>
      <color rgb="FFFF0000"/>
      <name val="Arial"/>
      <family val="2"/>
    </font>
    <font>
      <sz val="11"/>
      <name val="Calibri"/>
      <family val="2"/>
      <scheme val="minor"/>
    </font>
    <font>
      <i/>
      <sz val="7"/>
      <name val="Arial"/>
      <family val="2"/>
    </font>
    <font>
      <sz val="11"/>
      <color rgb="FFFF0000"/>
      <name val="Calibri"/>
      <family val="2"/>
      <scheme val="minor"/>
    </font>
    <font>
      <sz val="7"/>
      <color rgb="FFFF0000"/>
      <name val="Arial"/>
      <family val="2"/>
    </font>
    <font>
      <b/>
      <sz val="8"/>
      <color rgb="FFFF0000"/>
      <name val="Arial"/>
      <family val="2"/>
    </font>
  </fonts>
  <fills count="2">
    <fill>
      <patternFill patternType="none"/>
    </fill>
    <fill>
      <patternFill patternType="gray125"/>
    </fill>
  </fills>
  <borders count="13">
    <border>
      <left/>
      <right/>
      <top/>
      <bottom/>
      <diagonal/>
    </border>
    <border>
      <left/>
      <right/>
      <top/>
      <bottom style="thin">
        <color indexed="8"/>
      </bottom>
      <diagonal/>
    </border>
    <border>
      <left/>
      <right/>
      <top style="thin">
        <color indexed="8"/>
      </top>
      <bottom/>
      <diagonal/>
    </border>
    <border>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right/>
      <top style="thin">
        <color indexed="8"/>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right/>
      <top style="thin">
        <color indexed="64"/>
      </top>
      <bottom style="thin">
        <color indexed="8"/>
      </bottom>
      <diagonal/>
    </border>
  </borders>
  <cellStyleXfs count="8">
    <xf numFmtId="0" fontId="0" fillId="0" borderId="0"/>
    <xf numFmtId="0" fontId="1" fillId="0" borderId="0"/>
    <xf numFmtId="43" fontId="1" fillId="0" borderId="0" applyFont="0" applyFill="0" applyBorder="0" applyAlignment="0" applyProtection="0"/>
    <xf numFmtId="9" fontId="1" fillId="0" borderId="0" applyFont="0" applyFill="0" applyBorder="0" applyAlignment="0" applyProtection="0"/>
    <xf numFmtId="0" fontId="5" fillId="0" borderId="0" applyNumberFormat="0" applyFill="0" applyBorder="0" applyAlignment="0" applyProtection="0"/>
    <xf numFmtId="9" fontId="13" fillId="0" borderId="0" applyFont="0" applyFill="0" applyBorder="0" applyAlignment="0" applyProtection="0"/>
    <xf numFmtId="0" fontId="1" fillId="0" borderId="0"/>
    <xf numFmtId="43" fontId="13" fillId="0" borderId="0" applyFont="0" applyFill="0" applyBorder="0" applyAlignment="0" applyProtection="0"/>
  </cellStyleXfs>
  <cellXfs count="265">
    <xf numFmtId="0" fontId="0" fillId="0" borderId="0" xfId="0"/>
    <xf numFmtId="0" fontId="2" fillId="0" borderId="0" xfId="1" applyFont="1"/>
    <xf numFmtId="0" fontId="6" fillId="0" borderId="0" xfId="0" applyFont="1"/>
    <xf numFmtId="3" fontId="7" fillId="0" borderId="0" xfId="2" applyNumberFormat="1" applyFont="1" applyAlignment="1">
      <alignment horizontal="center" vertical="top"/>
    </xf>
    <xf numFmtId="3" fontId="7" fillId="0" borderId="0" xfId="2" applyNumberFormat="1" applyFont="1" applyBorder="1" applyAlignment="1">
      <alignment horizontal="center" vertical="top"/>
    </xf>
    <xf numFmtId="0" fontId="10" fillId="0" borderId="0" xfId="4" quotePrefix="1" applyFont="1"/>
    <xf numFmtId="0" fontId="10" fillId="0" borderId="0" xfId="4" applyFont="1"/>
    <xf numFmtId="0" fontId="7" fillId="0" borderId="1" xfId="0" quotePrefix="1" applyFont="1" applyBorder="1" applyAlignment="1">
      <alignment horizontal="left"/>
    </xf>
    <xf numFmtId="0" fontId="7" fillId="0" borderId="1" xfId="0" applyFont="1" applyBorder="1"/>
    <xf numFmtId="0" fontId="3" fillId="0" borderId="3" xfId="0" applyFont="1" applyBorder="1"/>
    <xf numFmtId="0" fontId="1" fillId="0" borderId="0" xfId="0" applyFont="1"/>
    <xf numFmtId="0" fontId="1" fillId="0" borderId="3" xfId="0" applyFont="1" applyBorder="1"/>
    <xf numFmtId="0" fontId="7" fillId="0" borderId="0" xfId="0" applyFont="1"/>
    <xf numFmtId="0" fontId="7" fillId="0" borderId="3" xfId="0" applyFont="1" applyBorder="1" applyAlignment="1">
      <alignment horizontal="centerContinuous"/>
    </xf>
    <xf numFmtId="0" fontId="7" fillId="0" borderId="3" xfId="0" applyFont="1" applyBorder="1" applyAlignment="1">
      <alignment horizontal="centerContinuous" vertical="center"/>
    </xf>
    <xf numFmtId="0" fontId="7" fillId="0" borderId="1" xfId="0" applyFont="1" applyBorder="1" applyAlignment="1">
      <alignment wrapText="1"/>
    </xf>
    <xf numFmtId="0" fontId="7" fillId="0" borderId="1" xfId="0" applyFont="1" applyBorder="1" applyAlignment="1">
      <alignment horizontal="center" wrapText="1"/>
    </xf>
    <xf numFmtId="0" fontId="3" fillId="0" borderId="9" xfId="0" applyFont="1" applyBorder="1" applyAlignment="1">
      <alignment horizontal="center" wrapText="1"/>
    </xf>
    <xf numFmtId="3" fontId="7" fillId="0" borderId="0" xfId="0" applyNumberFormat="1" applyFont="1" applyAlignment="1">
      <alignment horizontal="centerContinuous"/>
    </xf>
    <xf numFmtId="0" fontId="7" fillId="0" borderId="0" xfId="0" applyFont="1" applyAlignment="1">
      <alignment horizontal="centerContinuous" vertical="center"/>
    </xf>
    <xf numFmtId="0" fontId="3" fillId="0" borderId="0" xfId="0" applyFont="1" applyAlignment="1">
      <alignment horizontal="centerContinuous" vertical="center"/>
    </xf>
    <xf numFmtId="0" fontId="3" fillId="0" borderId="0" xfId="0" applyFont="1"/>
    <xf numFmtId="171" fontId="7" fillId="0" borderId="0" xfId="0" applyNumberFormat="1" applyFont="1"/>
    <xf numFmtId="170" fontId="7" fillId="0" borderId="0" xfId="0" applyNumberFormat="1" applyFont="1"/>
    <xf numFmtId="181" fontId="3" fillId="0" borderId="0" xfId="0" applyNumberFormat="1" applyFont="1"/>
    <xf numFmtId="170" fontId="7" fillId="0" borderId="0" xfId="0" applyNumberFormat="1" applyFont="1" applyAlignment="1">
      <alignment horizontal="right"/>
    </xf>
    <xf numFmtId="0" fontId="1" fillId="0" borderId="3" xfId="0" applyFont="1" applyBorder="1" applyAlignment="1">
      <alignment horizontal="centerContinuous"/>
    </xf>
    <xf numFmtId="0" fontId="3" fillId="0" borderId="3" xfId="0" applyFont="1" applyBorder="1" applyAlignment="1">
      <alignment horizontal="centerContinuous"/>
    </xf>
    <xf numFmtId="0" fontId="7" fillId="0" borderId="1" xfId="0" applyFont="1" applyBorder="1" applyAlignment="1">
      <alignment horizontal="center"/>
    </xf>
    <xf numFmtId="0" fontId="3" fillId="0" borderId="3" xfId="0" applyFont="1" applyBorder="1" applyAlignment="1">
      <alignment horizontal="center"/>
    </xf>
    <xf numFmtId="0" fontId="3" fillId="0" borderId="9" xfId="0" applyFont="1" applyBorder="1" applyAlignment="1">
      <alignment horizontal="center"/>
    </xf>
    <xf numFmtId="0" fontId="7" fillId="0" borderId="0" xfId="0" applyFont="1" applyAlignment="1">
      <alignment horizontal="centerContinuous"/>
    </xf>
    <xf numFmtId="170" fontId="8" fillId="0" borderId="0" xfId="0" applyNumberFormat="1" applyFont="1"/>
    <xf numFmtId="0" fontId="3" fillId="0" borderId="0" xfId="0" quotePrefix="1" applyFont="1" applyAlignment="1">
      <alignment horizontal="left"/>
    </xf>
    <xf numFmtId="0" fontId="3" fillId="0" borderId="0" xfId="0" applyFont="1" applyAlignment="1">
      <alignment horizontal="centerContinuous"/>
    </xf>
    <xf numFmtId="0" fontId="3" fillId="0" borderId="0" xfId="0" applyFont="1" applyAlignment="1">
      <alignment horizontal="left"/>
    </xf>
    <xf numFmtId="3" fontId="7" fillId="0" borderId="0" xfId="0" applyNumberFormat="1" applyFont="1"/>
    <xf numFmtId="167" fontId="7" fillId="0" borderId="0" xfId="0" applyNumberFormat="1" applyFont="1"/>
    <xf numFmtId="3" fontId="7" fillId="0" borderId="0" xfId="0" applyNumberFormat="1" applyFont="1" applyAlignment="1">
      <alignment horizontal="right"/>
    </xf>
    <xf numFmtId="0" fontId="7" fillId="0" borderId="3" xfId="0" applyFont="1" applyBorder="1"/>
    <xf numFmtId="0" fontId="11" fillId="0" borderId="0" xfId="0" quotePrefix="1" applyFont="1"/>
    <xf numFmtId="0" fontId="11" fillId="0" borderId="0" xfId="0" applyFont="1"/>
    <xf numFmtId="0" fontId="3" fillId="0" borderId="1" xfId="0" quotePrefix="1" applyFont="1" applyBorder="1" applyAlignment="1">
      <alignment horizontal="left"/>
    </xf>
    <xf numFmtId="170" fontId="3" fillId="0" borderId="1" xfId="0" applyNumberFormat="1" applyFont="1" applyBorder="1" applyAlignment="1">
      <alignment horizontal="center"/>
    </xf>
    <xf numFmtId="0" fontId="3" fillId="0" borderId="1" xfId="0" applyFont="1" applyBorder="1"/>
    <xf numFmtId="3" fontId="3" fillId="0" borderId="1" xfId="0" applyNumberFormat="1" applyFont="1" applyBorder="1" applyAlignment="1">
      <alignment horizontal="center"/>
    </xf>
    <xf numFmtId="1" fontId="3" fillId="0" borderId="1" xfId="0" applyNumberFormat="1" applyFont="1" applyBorder="1" applyAlignment="1">
      <alignment horizontal="center"/>
    </xf>
    <xf numFmtId="0" fontId="3" fillId="0" borderId="0" xfId="0" applyFont="1" applyAlignment="1">
      <alignment horizontal="center"/>
    </xf>
    <xf numFmtId="170" fontId="3" fillId="0" borderId="0" xfId="0" applyNumberFormat="1" applyFont="1" applyAlignment="1">
      <alignment horizontal="center"/>
    </xf>
    <xf numFmtId="3" fontId="3" fillId="0" borderId="0" xfId="0" applyNumberFormat="1" applyFont="1" applyAlignment="1">
      <alignment horizontal="center"/>
    </xf>
    <xf numFmtId="1" fontId="3" fillId="0" borderId="0" xfId="0" applyNumberFormat="1" applyFont="1" applyAlignment="1">
      <alignment horizontal="center"/>
    </xf>
    <xf numFmtId="0" fontId="3" fillId="0" borderId="1" xfId="0" applyFont="1" applyBorder="1" applyAlignment="1">
      <alignment horizontal="center"/>
    </xf>
    <xf numFmtId="170" fontId="3" fillId="0" borderId="0" xfId="0" applyNumberFormat="1" applyFont="1" applyAlignment="1">
      <alignment horizontal="centerContinuous"/>
    </xf>
    <xf numFmtId="170" fontId="3" fillId="0" borderId="0" xfId="0" applyNumberFormat="1" applyFont="1"/>
    <xf numFmtId="177" fontId="3" fillId="0" borderId="0" xfId="0" applyNumberFormat="1" applyFont="1"/>
    <xf numFmtId="178" fontId="3" fillId="0" borderId="0" xfId="0" applyNumberFormat="1" applyFont="1"/>
    <xf numFmtId="165" fontId="3" fillId="0" borderId="0" xfId="0" applyNumberFormat="1" applyFont="1"/>
    <xf numFmtId="179" fontId="3" fillId="0" borderId="0" xfId="0" applyNumberFormat="1" applyFont="1"/>
    <xf numFmtId="180" fontId="3" fillId="0" borderId="0" xfId="0" applyNumberFormat="1" applyFont="1"/>
    <xf numFmtId="177" fontId="3" fillId="0" borderId="0" xfId="0" quotePrefix="1" applyNumberFormat="1" applyFont="1"/>
    <xf numFmtId="2" fontId="3" fillId="0" borderId="0" xfId="0" quotePrefix="1" applyNumberFormat="1" applyFont="1" applyAlignment="1">
      <alignment horizontal="left"/>
    </xf>
    <xf numFmtId="178" fontId="3" fillId="0" borderId="0" xfId="0" quotePrefix="1" applyNumberFormat="1" applyFont="1"/>
    <xf numFmtId="165" fontId="3" fillId="0" borderId="0" xfId="0" applyNumberFormat="1" applyFont="1" applyAlignment="1">
      <alignment horizontal="center"/>
    </xf>
    <xf numFmtId="2" fontId="1" fillId="0" borderId="0" xfId="0" applyNumberFormat="1" applyFont="1"/>
    <xf numFmtId="179" fontId="3" fillId="0" borderId="0" xfId="0" quotePrefix="1" applyNumberFormat="1" applyFont="1"/>
    <xf numFmtId="49" fontId="3" fillId="0" borderId="0" xfId="0" applyNumberFormat="1" applyFont="1"/>
    <xf numFmtId="0" fontId="3" fillId="0" borderId="0" xfId="0" quotePrefix="1" applyFont="1" applyAlignment="1">
      <alignment horizontal="center"/>
    </xf>
    <xf numFmtId="49" fontId="3" fillId="0" borderId="1" xfId="0" applyNumberFormat="1" applyFont="1" applyBorder="1"/>
    <xf numFmtId="0" fontId="3" fillId="0" borderId="0" xfId="0" quotePrefix="1" applyFont="1" applyAlignment="1">
      <alignment horizontal="centerContinuous"/>
    </xf>
    <xf numFmtId="49" fontId="3" fillId="0" borderId="0" xfId="0" applyNumberFormat="1" applyFont="1" applyAlignment="1">
      <alignment horizontal="left"/>
    </xf>
    <xf numFmtId="172" fontId="3" fillId="0" borderId="0" xfId="0" applyNumberFormat="1" applyFont="1"/>
    <xf numFmtId="173" fontId="3" fillId="0" borderId="0" xfId="0" applyNumberFormat="1" applyFont="1"/>
    <xf numFmtId="174" fontId="3" fillId="0" borderId="0" xfId="0" applyNumberFormat="1" applyFont="1"/>
    <xf numFmtId="49" fontId="3" fillId="0" borderId="0" xfId="0" quotePrefix="1" applyNumberFormat="1" applyFont="1" applyAlignment="1">
      <alignment horizontal="left"/>
    </xf>
    <xf numFmtId="172" fontId="3" fillId="0" borderId="0" xfId="0" quotePrefix="1" applyNumberFormat="1" applyFont="1"/>
    <xf numFmtId="0" fontId="0" fillId="0" borderId="3" xfId="0" applyBorder="1"/>
    <xf numFmtId="0" fontId="7" fillId="0" borderId="0" xfId="0" quotePrefix="1" applyFont="1" applyAlignment="1">
      <alignment horizontal="left"/>
    </xf>
    <xf numFmtId="0" fontId="7" fillId="0" borderId="0" xfId="0" applyFont="1" applyAlignment="1">
      <alignment horizontal="center"/>
    </xf>
    <xf numFmtId="0" fontId="7" fillId="0" borderId="0" xfId="0" quotePrefix="1" applyFont="1" applyAlignment="1">
      <alignment horizontal="center"/>
    </xf>
    <xf numFmtId="0" fontId="7" fillId="0" borderId="1" xfId="0" quotePrefix="1" applyFont="1" applyBorder="1" applyAlignment="1">
      <alignment horizontal="center"/>
    </xf>
    <xf numFmtId="1" fontId="1" fillId="0" borderId="0" xfId="0" applyNumberFormat="1" applyFont="1"/>
    <xf numFmtId="0" fontId="1" fillId="0" borderId="0" xfId="0" applyFont="1" applyAlignment="1">
      <alignment horizontal="centerContinuous"/>
    </xf>
    <xf numFmtId="1" fontId="7" fillId="0" borderId="0" xfId="0" quotePrefix="1" applyNumberFormat="1" applyFont="1" applyAlignment="1">
      <alignment horizontal="left"/>
    </xf>
    <xf numFmtId="3" fontId="7" fillId="0" borderId="0" xfId="0" applyNumberFormat="1" applyFont="1" applyAlignment="1">
      <alignment horizontal="center"/>
    </xf>
    <xf numFmtId="1" fontId="7" fillId="0" borderId="0" xfId="0" applyNumberFormat="1" applyFont="1" applyAlignment="1">
      <alignment horizontal="left"/>
    </xf>
    <xf numFmtId="0" fontId="1" fillId="0" borderId="0" xfId="0" applyFont="1" applyAlignment="1">
      <alignment horizontal="center"/>
    </xf>
    <xf numFmtId="0" fontId="7" fillId="0" borderId="0" xfId="0" applyFont="1" applyAlignment="1">
      <alignment horizontal="left"/>
    </xf>
    <xf numFmtId="168" fontId="7" fillId="0" borderId="0" xfId="0" applyNumberFormat="1" applyFont="1"/>
    <xf numFmtId="169" fontId="7" fillId="0" borderId="0" xfId="0" applyNumberFormat="1" applyFont="1"/>
    <xf numFmtId="3" fontId="3" fillId="0" borderId="0" xfId="0" applyNumberFormat="1" applyFont="1"/>
    <xf numFmtId="3" fontId="7" fillId="0" borderId="1" xfId="0" applyNumberFormat="1" applyFont="1" applyBorder="1" applyAlignment="1">
      <alignment horizontal="center"/>
    </xf>
    <xf numFmtId="165" fontId="7" fillId="0" borderId="0" xfId="0" applyNumberFormat="1" applyFont="1"/>
    <xf numFmtId="166" fontId="7" fillId="0" borderId="0" xfId="0" applyNumberFormat="1" applyFont="1"/>
    <xf numFmtId="166" fontId="3" fillId="0" borderId="0" xfId="0" applyNumberFormat="1" applyFont="1"/>
    <xf numFmtId="165" fontId="7" fillId="0" borderId="0" xfId="0" applyNumberFormat="1" applyFont="1" applyAlignment="1">
      <alignment vertical="top"/>
    </xf>
    <xf numFmtId="0" fontId="7" fillId="0" borderId="0" xfId="0" quotePrefix="1" applyFont="1" applyAlignment="1">
      <alignment horizontal="left" vertical="top"/>
    </xf>
    <xf numFmtId="0" fontId="7" fillId="0" borderId="0" xfId="0" applyFont="1" applyAlignment="1">
      <alignment horizontal="left" vertical="top"/>
    </xf>
    <xf numFmtId="0" fontId="9" fillId="0" borderId="0" xfId="0" applyFont="1"/>
    <xf numFmtId="3" fontId="7" fillId="0" borderId="0" xfId="0" applyNumberFormat="1" applyFont="1" applyAlignment="1">
      <alignment horizontal="center" vertical="top"/>
    </xf>
    <xf numFmtId="3" fontId="9" fillId="0" borderId="0" xfId="0" applyNumberFormat="1" applyFont="1"/>
    <xf numFmtId="0" fontId="7" fillId="0" borderId="0" xfId="0" quotePrefix="1" applyFont="1"/>
    <xf numFmtId="165" fontId="9" fillId="0" borderId="0" xfId="0" applyNumberFormat="1" applyFont="1"/>
    <xf numFmtId="3" fontId="3" fillId="0" borderId="2" xfId="0" applyNumberFormat="1" applyFont="1" applyBorder="1" applyAlignment="1">
      <alignment horizontal="center"/>
    </xf>
    <xf numFmtId="3" fontId="3" fillId="0" borderId="0" xfId="0" applyNumberFormat="1" applyFont="1" applyAlignment="1">
      <alignment horizontal="center" vertical="center" wrapText="1"/>
    </xf>
    <xf numFmtId="3" fontId="3" fillId="0" borderId="0" xfId="0" applyNumberFormat="1" applyFont="1" applyAlignment="1">
      <alignment horizontal="center" vertical="center"/>
    </xf>
    <xf numFmtId="3" fontId="3" fillId="0" borderId="1" xfId="0" applyNumberFormat="1" applyFont="1" applyBorder="1" applyAlignment="1">
      <alignment horizontal="center" vertical="center" wrapText="1"/>
    </xf>
    <xf numFmtId="3" fontId="3" fillId="0" borderId="1" xfId="0" applyNumberFormat="1" applyFont="1" applyBorder="1" applyAlignment="1">
      <alignment horizontal="center" vertical="center"/>
    </xf>
    <xf numFmtId="0" fontId="3" fillId="0" borderId="0" xfId="0" quotePrefix="1" applyFont="1"/>
    <xf numFmtId="16" fontId="3" fillId="0" borderId="0" xfId="0" quotePrefix="1" applyNumberFormat="1" applyFont="1"/>
    <xf numFmtId="164" fontId="3" fillId="0" borderId="0" xfId="0" applyNumberFormat="1" applyFont="1"/>
    <xf numFmtId="1" fontId="3" fillId="0" borderId="0" xfId="0" applyNumberFormat="1" applyFont="1" applyAlignment="1">
      <alignment horizontal="left"/>
    </xf>
    <xf numFmtId="0" fontId="9" fillId="0" borderId="3" xfId="0" applyFont="1" applyBorder="1"/>
    <xf numFmtId="37" fontId="9" fillId="0" borderId="0" xfId="0" applyNumberFormat="1" applyFont="1"/>
    <xf numFmtId="37" fontId="9" fillId="0" borderId="0" xfId="0" applyNumberFormat="1" applyFont="1" applyAlignment="1">
      <alignment horizontal="left"/>
    </xf>
    <xf numFmtId="0" fontId="9" fillId="0" borderId="0" xfId="0" applyFont="1" applyAlignment="1">
      <alignment horizontal="center"/>
    </xf>
    <xf numFmtId="0" fontId="9" fillId="0" borderId="4" xfId="0" applyFont="1" applyBorder="1" applyAlignment="1">
      <alignment horizontal="center"/>
    </xf>
    <xf numFmtId="0" fontId="9" fillId="0" borderId="5" xfId="0" applyFont="1" applyBorder="1" applyAlignment="1">
      <alignment horizontal="center"/>
    </xf>
    <xf numFmtId="0" fontId="9" fillId="0" borderId="3" xfId="0" applyFont="1" applyBorder="1" applyAlignment="1">
      <alignment horizontal="center"/>
    </xf>
    <xf numFmtId="0" fontId="9" fillId="0" borderId="6" xfId="0" applyFont="1" applyBorder="1" applyAlignment="1">
      <alignment horizontal="center"/>
    </xf>
    <xf numFmtId="0" fontId="9" fillId="0" borderId="5" xfId="0" applyFont="1" applyBorder="1"/>
    <xf numFmtId="0" fontId="9" fillId="0" borderId="0" xfId="0" quotePrefix="1" applyFont="1" applyAlignment="1">
      <alignment horizontal="left"/>
    </xf>
    <xf numFmtId="0" fontId="9" fillId="0" borderId="7" xfId="0" applyFont="1" applyBorder="1"/>
    <xf numFmtId="37" fontId="9" fillId="0" borderId="7" xfId="0" applyNumberFormat="1" applyFont="1" applyBorder="1"/>
    <xf numFmtId="0" fontId="9" fillId="0" borderId="0" xfId="0" quotePrefix="1" applyFont="1" applyAlignment="1">
      <alignment horizontal="center"/>
    </xf>
    <xf numFmtId="3" fontId="3" fillId="0" borderId="0" xfId="0" applyNumberFormat="1" applyFont="1" applyAlignment="1">
      <alignment horizontal="right"/>
    </xf>
    <xf numFmtId="3" fontId="9" fillId="0" borderId="0" xfId="0" applyNumberFormat="1" applyFont="1" applyAlignment="1">
      <alignment horizontal="right"/>
    </xf>
    <xf numFmtId="0" fontId="3" fillId="0" borderId="10" xfId="0" applyFont="1" applyBorder="1" applyAlignment="1">
      <alignment horizontal="center"/>
    </xf>
    <xf numFmtId="37" fontId="9" fillId="0" borderId="10" xfId="0" applyNumberFormat="1" applyFont="1" applyBorder="1"/>
    <xf numFmtId="0" fontId="7" fillId="0" borderId="10" xfId="0" quotePrefix="1" applyFont="1" applyBorder="1" applyAlignment="1">
      <alignment horizontal="left"/>
    </xf>
    <xf numFmtId="3" fontId="3" fillId="0" borderId="10" xfId="0" applyNumberFormat="1" applyFont="1" applyBorder="1" applyAlignment="1">
      <alignment horizontal="center"/>
    </xf>
    <xf numFmtId="3" fontId="7" fillId="0" borderId="10" xfId="0" applyNumberFormat="1" applyFont="1" applyBorder="1"/>
    <xf numFmtId="0" fontId="3" fillId="0" borderId="10" xfId="0" applyFont="1" applyBorder="1" applyAlignment="1">
      <alignment horizontal="left"/>
    </xf>
    <xf numFmtId="1" fontId="3" fillId="0" borderId="0" xfId="0" quotePrefix="1" applyNumberFormat="1" applyFont="1" applyAlignment="1">
      <alignment horizontal="left"/>
    </xf>
    <xf numFmtId="3" fontId="7" fillId="0" borderId="10" xfId="0" applyNumberFormat="1" applyFont="1" applyBorder="1" applyAlignment="1">
      <alignment horizontal="right"/>
    </xf>
    <xf numFmtId="3" fontId="7" fillId="0" borderId="10" xfId="0" applyNumberFormat="1" applyFont="1" applyBorder="1" applyAlignment="1">
      <alignment horizontal="center"/>
    </xf>
    <xf numFmtId="0" fontId="7" fillId="0" borderId="10" xfId="0" applyFont="1" applyBorder="1" applyAlignment="1">
      <alignment horizontal="left" vertical="top"/>
    </xf>
    <xf numFmtId="165" fontId="7" fillId="0" borderId="10" xfId="0" applyNumberFormat="1" applyFont="1" applyBorder="1" applyAlignment="1">
      <alignment vertical="top"/>
    </xf>
    <xf numFmtId="166" fontId="7" fillId="0" borderId="10" xfId="0" applyNumberFormat="1" applyFont="1" applyBorder="1"/>
    <xf numFmtId="3" fontId="7" fillId="0" borderId="2" xfId="0" applyNumberFormat="1" applyFont="1" applyBorder="1"/>
    <xf numFmtId="49" fontId="3" fillId="0" borderId="0" xfId="0" applyNumberFormat="1" applyFont="1" applyAlignment="1">
      <alignment wrapText="1"/>
    </xf>
    <xf numFmtId="170" fontId="7" fillId="0" borderId="1" xfId="0" applyNumberFormat="1" applyFont="1" applyBorder="1" applyAlignment="1">
      <alignment horizontal="right"/>
    </xf>
    <xf numFmtId="170" fontId="3" fillId="0" borderId="0" xfId="0" applyNumberFormat="1" applyFont="1" applyAlignment="1">
      <alignment horizontal="right"/>
    </xf>
    <xf numFmtId="170" fontId="1" fillId="0" borderId="0" xfId="0" applyNumberFormat="1" applyFont="1" applyAlignment="1">
      <alignment horizontal="right"/>
    </xf>
    <xf numFmtId="170" fontId="7" fillId="0" borderId="3" xfId="0" applyNumberFormat="1" applyFont="1" applyBorder="1" applyAlignment="1">
      <alignment horizontal="right"/>
    </xf>
    <xf numFmtId="171" fontId="7" fillId="0" borderId="0" xfId="0" applyNumberFormat="1" applyFont="1" applyAlignment="1">
      <alignment horizontal="right"/>
    </xf>
    <xf numFmtId="171" fontId="7" fillId="0" borderId="3" xfId="0" applyNumberFormat="1" applyFont="1" applyBorder="1" applyAlignment="1">
      <alignment horizontal="right"/>
    </xf>
    <xf numFmtId="171" fontId="7" fillId="0" borderId="0" xfId="0" quotePrefix="1" applyNumberFormat="1" applyFont="1" applyAlignment="1">
      <alignment horizontal="right"/>
    </xf>
    <xf numFmtId="171" fontId="3" fillId="0" borderId="0" xfId="0" applyNumberFormat="1" applyFont="1" applyAlignment="1">
      <alignment horizontal="right"/>
    </xf>
    <xf numFmtId="171" fontId="7" fillId="0" borderId="1" xfId="0" applyNumberFormat="1" applyFont="1" applyBorder="1" applyAlignment="1">
      <alignment horizontal="right"/>
    </xf>
    <xf numFmtId="3" fontId="1" fillId="0" borderId="0" xfId="0" applyNumberFormat="1" applyFont="1" applyAlignment="1">
      <alignment horizontal="right"/>
    </xf>
    <xf numFmtId="3" fontId="7" fillId="0" borderId="3" xfId="0" applyNumberFormat="1" applyFont="1" applyBorder="1" applyAlignment="1">
      <alignment horizontal="right"/>
    </xf>
    <xf numFmtId="2" fontId="3" fillId="0" borderId="10" xfId="0" quotePrefix="1" applyNumberFormat="1" applyFont="1" applyBorder="1" applyAlignment="1">
      <alignment horizontal="left"/>
    </xf>
    <xf numFmtId="0" fontId="7" fillId="0" borderId="10" xfId="0" applyFont="1" applyBorder="1"/>
    <xf numFmtId="3" fontId="3" fillId="0" borderId="0" xfId="0" applyNumberFormat="1" applyFont="1" applyAlignment="1">
      <alignment horizontal="left"/>
    </xf>
    <xf numFmtId="0" fontId="3" fillId="0" borderId="4" xfId="0" applyFont="1" applyBorder="1" applyAlignment="1">
      <alignment horizontal="center"/>
    </xf>
    <xf numFmtId="174" fontId="3" fillId="0" borderId="0" xfId="0" applyNumberFormat="1" applyFont="1" applyAlignment="1">
      <alignment horizontal="center"/>
    </xf>
    <xf numFmtId="0" fontId="7" fillId="0" borderId="1" xfId="0" applyFont="1" applyBorder="1" applyAlignment="1">
      <alignment horizontal="left"/>
    </xf>
    <xf numFmtId="0" fontId="9" fillId="0" borderId="0" xfId="0" applyFont="1" applyAlignment="1">
      <alignment horizontal="left"/>
    </xf>
    <xf numFmtId="182" fontId="9" fillId="0" borderId="0" xfId="0" applyNumberFormat="1" applyFont="1"/>
    <xf numFmtId="37" fontId="9" fillId="0" borderId="11" xfId="0" applyNumberFormat="1" applyFont="1" applyBorder="1"/>
    <xf numFmtId="2" fontId="3" fillId="0" borderId="0" xfId="0" applyNumberFormat="1" applyFont="1" applyAlignment="1">
      <alignment horizontal="center"/>
    </xf>
    <xf numFmtId="2" fontId="3" fillId="0" borderId="10" xfId="0" applyNumberFormat="1" applyFont="1" applyBorder="1" applyAlignment="1">
      <alignment horizontal="center"/>
    </xf>
    <xf numFmtId="4" fontId="3" fillId="0" borderId="0" xfId="0" applyNumberFormat="1" applyFont="1" applyAlignment="1">
      <alignment horizontal="center"/>
    </xf>
    <xf numFmtId="4" fontId="3" fillId="0" borderId="10" xfId="0" applyNumberFormat="1" applyFont="1" applyBorder="1" applyAlignment="1">
      <alignment horizontal="center"/>
    </xf>
    <xf numFmtId="174" fontId="3" fillId="0" borderId="10" xfId="0" applyNumberFormat="1" applyFont="1" applyBorder="1"/>
    <xf numFmtId="172" fontId="3" fillId="0" borderId="10" xfId="0" applyNumberFormat="1" applyFont="1" applyBorder="1"/>
    <xf numFmtId="173" fontId="3" fillId="0" borderId="10" xfId="0" applyNumberFormat="1" applyFont="1" applyBorder="1"/>
    <xf numFmtId="1" fontId="3" fillId="0" borderId="10" xfId="0" applyNumberFormat="1" applyFont="1" applyBorder="1" applyAlignment="1">
      <alignment horizontal="center"/>
    </xf>
    <xf numFmtId="0" fontId="1" fillId="0" borderId="0" xfId="0" applyFont="1" applyAlignment="1">
      <alignment horizontal="right"/>
    </xf>
    <xf numFmtId="0" fontId="3" fillId="0" borderId="9" xfId="0" applyFont="1" applyBorder="1" applyAlignment="1">
      <alignment horizontal="right" wrapText="1"/>
    </xf>
    <xf numFmtId="2" fontId="7" fillId="0" borderId="10" xfId="0" applyNumberFormat="1" applyFont="1" applyBorder="1" applyAlignment="1">
      <alignment horizontal="left"/>
    </xf>
    <xf numFmtId="2" fontId="7" fillId="0" borderId="0" xfId="0" applyNumberFormat="1" applyFont="1" applyAlignment="1">
      <alignment horizontal="left"/>
    </xf>
    <xf numFmtId="37" fontId="9" fillId="0" borderId="0" xfId="0" applyNumberFormat="1" applyFont="1" applyAlignment="1">
      <alignment horizontal="center"/>
    </xf>
    <xf numFmtId="9" fontId="1" fillId="0" borderId="0" xfId="5" applyFont="1"/>
    <xf numFmtId="177" fontId="3" fillId="0" borderId="10" xfId="0" applyNumberFormat="1" applyFont="1" applyBorder="1"/>
    <xf numFmtId="177" fontId="3" fillId="0" borderId="10" xfId="0" quotePrefix="1" applyNumberFormat="1" applyFont="1" applyBorder="1"/>
    <xf numFmtId="178" fontId="3" fillId="0" borderId="10" xfId="0" applyNumberFormat="1" applyFont="1" applyBorder="1"/>
    <xf numFmtId="165" fontId="3" fillId="0" borderId="10" xfId="0" applyNumberFormat="1" applyFont="1" applyBorder="1"/>
    <xf numFmtId="179" fontId="3" fillId="0" borderId="10" xfId="0" applyNumberFormat="1" applyFont="1" applyBorder="1"/>
    <xf numFmtId="180" fontId="3" fillId="0" borderId="10" xfId="0" applyNumberFormat="1" applyFont="1" applyBorder="1"/>
    <xf numFmtId="0" fontId="14" fillId="0" borderId="0" xfId="0" quotePrefix="1" applyFont="1"/>
    <xf numFmtId="0" fontId="14" fillId="0" borderId="0" xfId="0" applyFont="1"/>
    <xf numFmtId="2" fontId="14" fillId="0" borderId="0" xfId="0" applyNumberFormat="1" applyFont="1"/>
    <xf numFmtId="171" fontId="14" fillId="0" borderId="0" xfId="0" applyNumberFormat="1" applyFont="1"/>
    <xf numFmtId="170" fontId="14" fillId="0" borderId="0" xfId="0" applyNumberFormat="1" applyFont="1"/>
    <xf numFmtId="170" fontId="14" fillId="0" borderId="0" xfId="0" applyNumberFormat="1" applyFont="1" applyAlignment="1">
      <alignment horizontal="center"/>
    </xf>
    <xf numFmtId="170" fontId="3" fillId="0" borderId="1" xfId="0" applyNumberFormat="1" applyFont="1" applyBorder="1" applyAlignment="1">
      <alignment horizontal="right"/>
    </xf>
    <xf numFmtId="171" fontId="3" fillId="0" borderId="3" xfId="0" applyNumberFormat="1" applyFont="1" applyBorder="1" applyAlignment="1">
      <alignment horizontal="right"/>
    </xf>
    <xf numFmtId="3" fontId="3" fillId="0" borderId="3" xfId="0" applyNumberFormat="1" applyFont="1" applyBorder="1" applyAlignment="1">
      <alignment horizontal="right"/>
    </xf>
    <xf numFmtId="170" fontId="3" fillId="0" borderId="10" xfId="0" applyNumberFormat="1" applyFont="1" applyBorder="1" applyAlignment="1">
      <alignment horizontal="right"/>
    </xf>
    <xf numFmtId="3" fontId="3" fillId="0" borderId="10" xfId="0" applyNumberFormat="1" applyFont="1" applyBorder="1" applyAlignment="1">
      <alignment horizontal="right"/>
    </xf>
    <xf numFmtId="37" fontId="9" fillId="0" borderId="6" xfId="0" applyNumberFormat="1" applyFont="1" applyBorder="1"/>
    <xf numFmtId="0" fontId="3" fillId="0" borderId="10" xfId="0" quotePrefix="1" applyFont="1" applyBorder="1" applyAlignment="1">
      <alignment horizontal="left"/>
    </xf>
    <xf numFmtId="0" fontId="9" fillId="0" borderId="10" xfId="0" applyFont="1" applyBorder="1" applyAlignment="1">
      <alignment horizontal="left"/>
    </xf>
    <xf numFmtId="0" fontId="7" fillId="0" borderId="12" xfId="0" quotePrefix="1" applyFont="1" applyBorder="1" applyAlignment="1">
      <alignment horizontal="center"/>
    </xf>
    <xf numFmtId="0" fontId="7" fillId="0" borderId="12" xfId="0" applyFont="1" applyBorder="1" applyAlignment="1">
      <alignment horizontal="center"/>
    </xf>
    <xf numFmtId="0" fontId="3" fillId="0" borderId="4" xfId="0" quotePrefix="1" applyFont="1" applyBorder="1" applyAlignment="1">
      <alignment horizontal="center"/>
    </xf>
    <xf numFmtId="0" fontId="7" fillId="0" borderId="9" xfId="0" applyFont="1" applyBorder="1"/>
    <xf numFmtId="0" fontId="7" fillId="0" borderId="12" xfId="0" applyFont="1" applyBorder="1"/>
    <xf numFmtId="0" fontId="7" fillId="0" borderId="10" xfId="0" applyFont="1" applyBorder="1" applyAlignment="1">
      <alignment horizontal="centerContinuous"/>
    </xf>
    <xf numFmtId="0" fontId="1" fillId="0" borderId="10" xfId="0" applyFont="1" applyBorder="1" applyAlignment="1">
      <alignment horizontal="centerContinuous"/>
    </xf>
    <xf numFmtId="0" fontId="1" fillId="0" borderId="10" xfId="0" applyFont="1" applyBorder="1"/>
    <xf numFmtId="0" fontId="3" fillId="0" borderId="10" xfId="0" applyFont="1" applyBorder="1" applyAlignment="1">
      <alignment horizontal="centerContinuous"/>
    </xf>
    <xf numFmtId="0" fontId="3" fillId="0" borderId="10" xfId="0" applyFont="1" applyBorder="1"/>
    <xf numFmtId="0" fontId="7" fillId="0" borderId="12" xfId="0" applyFont="1" applyBorder="1" applyAlignment="1">
      <alignment wrapText="1"/>
    </xf>
    <xf numFmtId="0" fontId="7" fillId="0" borderId="12" xfId="0" applyFont="1" applyBorder="1" applyAlignment="1">
      <alignment horizontal="center" wrapText="1"/>
    </xf>
    <xf numFmtId="0" fontId="16" fillId="0" borderId="0" xfId="0" applyFont="1"/>
    <xf numFmtId="1" fontId="3" fillId="0" borderId="0" xfId="0" applyNumberFormat="1" applyFont="1"/>
    <xf numFmtId="169" fontId="1" fillId="0" borderId="0" xfId="0" applyNumberFormat="1" applyFont="1"/>
    <xf numFmtId="3" fontId="3" fillId="0" borderId="10" xfId="0" applyNumberFormat="1" applyFont="1" applyBorder="1"/>
    <xf numFmtId="1" fontId="3" fillId="0" borderId="4" xfId="0" applyNumberFormat="1" applyFont="1" applyBorder="1" applyAlignment="1">
      <alignment horizontal="center"/>
    </xf>
    <xf numFmtId="183" fontId="1" fillId="0" borderId="0" xfId="0" applyNumberFormat="1" applyFont="1"/>
    <xf numFmtId="0" fontId="3" fillId="0" borderId="4" xfId="0" applyFont="1" applyBorder="1"/>
    <xf numFmtId="1" fontId="3" fillId="0" borderId="1" xfId="0" applyNumberFormat="1" applyFont="1" applyBorder="1"/>
    <xf numFmtId="0" fontId="3" fillId="0" borderId="1" xfId="0" quotePrefix="1" applyFont="1" applyBorder="1" applyAlignment="1">
      <alignment horizontal="center"/>
    </xf>
    <xf numFmtId="167" fontId="3" fillId="0" borderId="0" xfId="0" applyNumberFormat="1" applyFont="1"/>
    <xf numFmtId="170" fontId="17" fillId="0" borderId="0" xfId="0" applyNumberFormat="1" applyFont="1" applyAlignment="1">
      <alignment horizontal="center"/>
    </xf>
    <xf numFmtId="171" fontId="3" fillId="0" borderId="0" xfId="0" applyNumberFormat="1" applyFont="1"/>
    <xf numFmtId="171" fontId="3" fillId="0" borderId="0" xfId="0" applyNumberFormat="1" applyFont="1" applyAlignment="1">
      <alignment horizontal="center"/>
    </xf>
    <xf numFmtId="1" fontId="3" fillId="0" borderId="10" xfId="0" quotePrefix="1" applyNumberFormat="1" applyFont="1" applyBorder="1" applyAlignment="1">
      <alignment horizontal="left"/>
    </xf>
    <xf numFmtId="0" fontId="18" fillId="0" borderId="0" xfId="0" applyFont="1"/>
    <xf numFmtId="0" fontId="3" fillId="0" borderId="4" xfId="0" quotePrefix="1" applyFont="1" applyBorder="1"/>
    <xf numFmtId="3" fontId="3" fillId="0" borderId="0" xfId="0" applyNumberFormat="1" applyFont="1" applyAlignment="1">
      <alignment horizontal="center"/>
    </xf>
    <xf numFmtId="3" fontId="3" fillId="0" borderId="0" xfId="0" applyNumberFormat="1" applyFont="1" applyBorder="1" applyAlignment="1">
      <alignment horizontal="right"/>
    </xf>
    <xf numFmtId="177" fontId="3" fillId="0" borderId="0" xfId="0" applyNumberFormat="1" applyFont="1" applyBorder="1" applyAlignment="1">
      <alignment horizontal="right"/>
    </xf>
    <xf numFmtId="0" fontId="1" fillId="0" borderId="0" xfId="0" applyFont="1" applyBorder="1"/>
    <xf numFmtId="3" fontId="1" fillId="0" borderId="0" xfId="0" applyNumberFormat="1" applyFont="1" applyBorder="1"/>
    <xf numFmtId="169" fontId="1" fillId="0" borderId="0" xfId="0" applyNumberFormat="1" applyFont="1" applyBorder="1"/>
    <xf numFmtId="0" fontId="3" fillId="0" borderId="0" xfId="0" applyFont="1" applyFill="1"/>
    <xf numFmtId="0" fontId="15" fillId="0" borderId="0" xfId="0" applyFont="1" applyFill="1"/>
    <xf numFmtId="184" fontId="15" fillId="0" borderId="0" xfId="0" applyNumberFormat="1" applyFont="1" applyFill="1"/>
    <xf numFmtId="184" fontId="3" fillId="0" borderId="0" xfId="0" applyNumberFormat="1" applyFont="1" applyFill="1"/>
    <xf numFmtId="189" fontId="3" fillId="0" borderId="0" xfId="7" applyNumberFormat="1" applyFont="1" applyFill="1"/>
    <xf numFmtId="172" fontId="20" fillId="0" borderId="0" xfId="0" applyNumberFormat="1" applyFont="1" applyFill="1"/>
    <xf numFmtId="3" fontId="3" fillId="0" borderId="0" xfId="0" applyNumberFormat="1" applyFont="1" applyFill="1"/>
    <xf numFmtId="189" fontId="3" fillId="0" borderId="0" xfId="0" applyNumberFormat="1" applyFont="1" applyFill="1"/>
    <xf numFmtId="172" fontId="3" fillId="0" borderId="0" xfId="0" applyNumberFormat="1" applyFont="1" applyFill="1"/>
    <xf numFmtId="0" fontId="14" fillId="0" borderId="0" xfId="0" quotePrefix="1" applyFont="1" applyFill="1"/>
    <xf numFmtId="0" fontId="19" fillId="0" borderId="0" xfId="0" quotePrefix="1" applyFont="1" applyFill="1"/>
    <xf numFmtId="0" fontId="14" fillId="0" borderId="0" xfId="0" applyFont="1" applyFill="1"/>
    <xf numFmtId="0" fontId="3" fillId="0" borderId="1" xfId="0" quotePrefix="1" applyFont="1" applyFill="1" applyBorder="1" applyAlignment="1">
      <alignment horizontal="left"/>
    </xf>
    <xf numFmtId="0" fontId="3" fillId="0" borderId="1" xfId="0" applyFont="1" applyFill="1" applyBorder="1"/>
    <xf numFmtId="0" fontId="3" fillId="0" borderId="8" xfId="0" applyFont="1" applyFill="1" applyBorder="1" applyAlignment="1">
      <alignment horizontal="centerContinuous"/>
    </xf>
    <xf numFmtId="0" fontId="3" fillId="0" borderId="1" xfId="0" applyFont="1" applyFill="1" applyBorder="1" applyAlignment="1">
      <alignment horizontal="centerContinuous"/>
    </xf>
    <xf numFmtId="0" fontId="3" fillId="0" borderId="0" xfId="0" applyFont="1" applyFill="1" applyAlignment="1">
      <alignment horizontal="center"/>
    </xf>
    <xf numFmtId="0" fontId="3" fillId="0" borderId="1" xfId="0" applyFont="1" applyFill="1" applyBorder="1" applyAlignment="1">
      <alignment horizontal="center"/>
    </xf>
    <xf numFmtId="0" fontId="3" fillId="0" borderId="0" xfId="0" quotePrefix="1" applyFont="1" applyFill="1" applyAlignment="1">
      <alignment horizontal="centerContinuous"/>
    </xf>
    <xf numFmtId="0" fontId="3" fillId="0" borderId="0" xfId="0" applyFont="1" applyFill="1" applyAlignment="1">
      <alignment horizontal="centerContinuous"/>
    </xf>
    <xf numFmtId="175" fontId="3" fillId="0" borderId="0" xfId="0" applyNumberFormat="1" applyFont="1" applyFill="1"/>
    <xf numFmtId="176" fontId="3" fillId="0" borderId="0" xfId="0" applyNumberFormat="1" applyFont="1" applyFill="1"/>
    <xf numFmtId="0" fontId="3" fillId="0" borderId="0" xfId="0" quotePrefix="1" applyFont="1" applyFill="1" applyAlignment="1">
      <alignment horizontal="left"/>
    </xf>
    <xf numFmtId="0" fontId="3" fillId="0" borderId="0" xfId="0" applyFont="1" applyFill="1" applyAlignment="1">
      <alignment horizontal="left"/>
    </xf>
    <xf numFmtId="0" fontId="3" fillId="0" borderId="3" xfId="0" applyFont="1" applyFill="1" applyBorder="1"/>
    <xf numFmtId="2" fontId="3" fillId="0" borderId="0" xfId="0" quotePrefix="1" applyNumberFormat="1" applyFont="1" applyFill="1" applyAlignment="1">
      <alignment horizontal="left"/>
    </xf>
    <xf numFmtId="2" fontId="3" fillId="0" borderId="10" xfId="0" quotePrefix="1" applyNumberFormat="1" applyFont="1" applyFill="1" applyBorder="1" applyAlignment="1">
      <alignment horizontal="left"/>
    </xf>
    <xf numFmtId="172" fontId="3" fillId="0" borderId="10" xfId="0" applyNumberFormat="1" applyFont="1" applyFill="1" applyBorder="1"/>
    <xf numFmtId="0" fontId="3" fillId="0" borderId="10" xfId="0" applyFont="1" applyFill="1" applyBorder="1"/>
    <xf numFmtId="175" fontId="3" fillId="0" borderId="10" xfId="0" applyNumberFormat="1" applyFont="1" applyFill="1" applyBorder="1"/>
    <xf numFmtId="176" fontId="3" fillId="0" borderId="10" xfId="0" applyNumberFormat="1" applyFont="1" applyFill="1" applyBorder="1"/>
    <xf numFmtId="0" fontId="3" fillId="0" borderId="0" xfId="0" quotePrefix="1" applyFont="1" applyFill="1"/>
    <xf numFmtId="0" fontId="1" fillId="0" borderId="0" xfId="0" applyFont="1" applyFill="1"/>
    <xf numFmtId="49" fontId="3" fillId="0" borderId="0" xfId="0" applyNumberFormat="1" applyFont="1" applyFill="1"/>
    <xf numFmtId="0" fontId="1" fillId="0" borderId="0" xfId="1" applyFont="1"/>
    <xf numFmtId="0" fontId="1" fillId="0" borderId="0" xfId="1" applyFont="1" applyAlignment="1">
      <alignment horizontal="center"/>
    </xf>
    <xf numFmtId="1" fontId="1" fillId="0" borderId="0" xfId="1" applyNumberFormat="1" applyFont="1"/>
  </cellXfs>
  <cellStyles count="8">
    <cellStyle name="Comma" xfId="7" builtinId="3"/>
    <cellStyle name="Comma 2" xfId="2" xr:uid="{233E0F40-28F8-402F-8BAA-84EA76E2DB29}"/>
    <cellStyle name="Hyperlink" xfId="4" builtinId="8"/>
    <cellStyle name="Normal" xfId="0" builtinId="0"/>
    <cellStyle name="Normal 10 2" xfId="6" xr:uid="{8AB5EE05-C0BE-422D-8221-DD6ED68178CF}"/>
    <cellStyle name="Normal 2" xfId="1" xr:uid="{929836B8-171F-445A-B2C8-E01A04078CC6}"/>
    <cellStyle name="Percent" xfId="5" builtinId="5"/>
    <cellStyle name="Percent 2" xfId="3" xr:uid="{DA147618-B6B8-4818-B256-C1C8E3D191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15"/>
  <sheetViews>
    <sheetView tabSelected="1" workbookViewId="0"/>
  </sheetViews>
  <sheetFormatPr defaultColWidth="9.140625" defaultRowHeight="12.75" x14ac:dyDescent="0.2"/>
  <cols>
    <col min="1" max="16384" width="9.140625" style="2"/>
  </cols>
  <sheetData>
    <row r="1" spans="1:1" x14ac:dyDescent="0.2">
      <c r="A1" s="1" t="s">
        <v>331</v>
      </c>
    </row>
    <row r="2" spans="1:1" x14ac:dyDescent="0.2">
      <c r="A2" s="5" t="s">
        <v>1</v>
      </c>
    </row>
    <row r="3" spans="1:1" x14ac:dyDescent="0.2">
      <c r="A3" s="5" t="s">
        <v>2</v>
      </c>
    </row>
    <row r="4" spans="1:1" x14ac:dyDescent="0.2">
      <c r="A4" s="5" t="s">
        <v>3</v>
      </c>
    </row>
    <row r="5" spans="1:1" x14ac:dyDescent="0.2">
      <c r="A5" s="5" t="s">
        <v>0</v>
      </c>
    </row>
    <row r="6" spans="1:1" x14ac:dyDescent="0.2">
      <c r="A6" s="6" t="s">
        <v>4</v>
      </c>
    </row>
    <row r="7" spans="1:1" x14ac:dyDescent="0.2">
      <c r="A7" s="6" t="s">
        <v>5</v>
      </c>
    </row>
    <row r="8" spans="1:1" x14ac:dyDescent="0.2">
      <c r="A8" s="6" t="s">
        <v>326</v>
      </c>
    </row>
    <row r="9" spans="1:1" x14ac:dyDescent="0.2">
      <c r="A9" s="5" t="s">
        <v>6</v>
      </c>
    </row>
    <row r="10" spans="1:1" x14ac:dyDescent="0.2">
      <c r="A10" s="6" t="s">
        <v>327</v>
      </c>
    </row>
    <row r="11" spans="1:1" x14ac:dyDescent="0.2">
      <c r="A11" s="6" t="s">
        <v>7</v>
      </c>
    </row>
    <row r="13" spans="1:1" x14ac:dyDescent="0.2">
      <c r="A13" s="2" t="s">
        <v>408</v>
      </c>
    </row>
    <row r="15" spans="1:1" x14ac:dyDescent="0.2">
      <c r="A15" s="2" t="s">
        <v>332</v>
      </c>
    </row>
  </sheetData>
  <hyperlinks>
    <hyperlink ref="A2" location="Table14!A1" display="Table 14–U.S. sugarbeet crops: area planted, acres harvested, yield per acre, and production, by State and region, since 1980/81" xr:uid="{9E690F31-7584-4FD9-8460-A2A4559E83F6}"/>
    <hyperlink ref="A3" location="Table15!A1" display="Table 15–U.S. sugarcane: area, yield, production, sugar output, recovery rate, and sugar yield per acre, crop years, since 1980/81" xr:uid="{748510CA-5D81-4BF9-85C2-113579253BFA}"/>
    <hyperlink ref="A4" location="Table16!A1" display="Table 16–U.S. beet and cane sugar production (including Puerto Rico) by fiscal year and share of total, since 1969/70" xr:uid="{662AD1CD-6F26-4E98-BCB6-10D008BC4F09}"/>
    <hyperlink ref="A5" location="Table17!A1" display="Table 17–U.S. sugarbeet area, yield, and production, since 1980/81" xr:uid="{D76F2BD0-D9D0-43F5-87E9-1DBA76235F98}"/>
    <hyperlink ref="A6" location="Table18!A1" display="Table 18–U.S. production of beet sugar and cane sugar by State, monthly, quarterly, fiscal, and calendar year, since 1992" xr:uid="{2136400D-320C-46ED-8AF4-C1AFA46C9EE4}"/>
    <hyperlink ref="A7" location="Table19!A1" display="Table 19–U.S. cane and beet sugar deliveries and exports, monthly, quarterly, and by fiscal and calendar year, since 1992" xr:uid="{4389AC45-A013-46E2-A5EF-C2E0C7D06F1A}"/>
    <hyperlink ref="A8" location="Table20a!A1" display="Table 20a–U.S. sugar deliveries for human consumption by type of user, calendar year, since 1949" xr:uid="{B0A6DD85-225E-4838-BC1E-381EEA27054A}"/>
    <hyperlink ref="A9" location="Table20b!A1" display="Table 20b–U.S. sugar deliveries for human consumption by type of user, quarterly since 2000" xr:uid="{C6CBACBA-DF35-44D8-A5C7-33436B2175D5}"/>
    <hyperlink ref="A10" location="Table21!A1" display="Table 21–U.S. sugar deliveries: industrial and nonindustrial uses, by region, since 1970" xr:uid="{66A302D9-A636-4A8E-8ABB-026B9EC61E58}"/>
    <hyperlink ref="A11" location="Table22!A1" display="Table 22–U.S. sugar stocks held by primary distributors, by quarters, since 1990 " xr:uid="{95AF5A4A-21D9-4C08-9084-0E5C2F1391E9}"/>
  </hyperlinks>
  <pageMargins left="0.7" right="0.7" top="0.75" bottom="0.75" header="0.3" footer="0.3"/>
  <pageSetup orientation="portrait" horizontalDpi="4294967293" verticalDpi="4294967293"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C5F4AD-D64B-47B3-9AC4-2C85B3886F91}">
  <dimension ref="A1:V501"/>
  <sheetViews>
    <sheetView workbookViewId="0">
      <pane xSplit="1" ySplit="6" topLeftCell="B7" activePane="bottomRight" state="frozen"/>
      <selection pane="topRight" activeCell="B1" sqref="B1"/>
      <selection pane="bottomLeft" activeCell="A7" sqref="A7"/>
      <selection pane="bottomRight"/>
    </sheetView>
  </sheetViews>
  <sheetFormatPr defaultRowHeight="11.25" x14ac:dyDescent="0.2"/>
  <cols>
    <col min="1" max="1" width="11.85546875" style="97" customWidth="1"/>
    <col min="2" max="7" width="7.7109375" style="97" customWidth="1"/>
    <col min="8" max="8" width="8.7109375" style="97" bestFit="1" customWidth="1"/>
    <col min="9" max="15" width="8.140625" style="97" customWidth="1"/>
    <col min="16" max="22" width="7.7109375" style="97" customWidth="1"/>
    <col min="23" max="16384" width="9.140625" style="97"/>
  </cols>
  <sheetData>
    <row r="1" spans="1:22" x14ac:dyDescent="0.2">
      <c r="A1" s="192" t="s">
        <v>406</v>
      </c>
      <c r="B1" s="111"/>
      <c r="C1" s="111"/>
      <c r="D1" s="111"/>
      <c r="E1" s="111"/>
      <c r="F1" s="111"/>
      <c r="G1" s="111"/>
      <c r="H1" s="111"/>
      <c r="I1" s="111"/>
      <c r="J1" s="111"/>
      <c r="K1" s="111"/>
      <c r="L1" s="111"/>
      <c r="M1" s="111"/>
      <c r="N1" s="111"/>
      <c r="O1" s="111"/>
      <c r="P1" s="111"/>
      <c r="Q1" s="111"/>
      <c r="R1" s="111"/>
      <c r="S1" s="111"/>
      <c r="T1" s="111"/>
      <c r="U1" s="111"/>
      <c r="V1" s="111"/>
    </row>
    <row r="2" spans="1:22" x14ac:dyDescent="0.2">
      <c r="A2" s="35"/>
      <c r="B2" s="112"/>
      <c r="D2" s="113" t="s">
        <v>34</v>
      </c>
      <c r="F2" s="112"/>
      <c r="G2" s="112"/>
      <c r="H2" s="112"/>
      <c r="K2" s="113" t="s">
        <v>35</v>
      </c>
      <c r="L2" s="112"/>
      <c r="M2" s="112"/>
      <c r="N2" s="112"/>
      <c r="O2" s="112"/>
      <c r="R2" s="113" t="s">
        <v>36</v>
      </c>
      <c r="S2" s="112"/>
      <c r="T2" s="112"/>
      <c r="U2" s="112"/>
      <c r="V2" s="112"/>
    </row>
    <row r="3" spans="1:22" x14ac:dyDescent="0.2">
      <c r="A3" s="193"/>
      <c r="B3" s="111"/>
      <c r="C3" s="111"/>
      <c r="D3" s="111"/>
      <c r="E3" s="111"/>
      <c r="F3" s="111"/>
      <c r="G3" s="111"/>
      <c r="H3" s="111"/>
      <c r="I3" s="111"/>
      <c r="J3" s="111"/>
      <c r="K3" s="111"/>
      <c r="L3" s="111"/>
      <c r="M3" s="111"/>
      <c r="N3" s="111"/>
      <c r="O3" s="111"/>
      <c r="P3" s="111"/>
      <c r="Q3" s="111"/>
      <c r="R3" s="111"/>
      <c r="S3" s="111"/>
      <c r="T3" s="111"/>
      <c r="U3" s="111"/>
      <c r="V3" s="111"/>
    </row>
    <row r="4" spans="1:22" s="114" customFormat="1" x14ac:dyDescent="0.2">
      <c r="B4" s="115" t="s">
        <v>37</v>
      </c>
      <c r="C4" s="115" t="s">
        <v>38</v>
      </c>
      <c r="D4" s="115" t="s">
        <v>39</v>
      </c>
      <c r="E4" s="115"/>
      <c r="F4" s="115"/>
      <c r="G4" s="115" t="s">
        <v>40</v>
      </c>
      <c r="H4" s="116"/>
      <c r="I4" s="115" t="s">
        <v>37</v>
      </c>
      <c r="J4" s="115" t="s">
        <v>38</v>
      </c>
      <c r="K4" s="115" t="s">
        <v>39</v>
      </c>
      <c r="L4" s="115"/>
      <c r="M4" s="115"/>
      <c r="N4" s="115" t="s">
        <v>40</v>
      </c>
      <c r="O4" s="116"/>
      <c r="P4" s="115" t="s">
        <v>37</v>
      </c>
      <c r="Q4" s="115" t="s">
        <v>41</v>
      </c>
      <c r="R4" s="115" t="s">
        <v>39</v>
      </c>
      <c r="S4" s="115"/>
      <c r="T4" s="115"/>
      <c r="U4" s="115" t="s">
        <v>40</v>
      </c>
      <c r="V4" s="115"/>
    </row>
    <row r="5" spans="1:22" s="114" customFormat="1" x14ac:dyDescent="0.2">
      <c r="A5" s="126" t="s">
        <v>386</v>
      </c>
      <c r="B5" s="117" t="s">
        <v>42</v>
      </c>
      <c r="C5" s="117" t="s">
        <v>43</v>
      </c>
      <c r="D5" s="117" t="s">
        <v>44</v>
      </c>
      <c r="E5" s="117" t="s">
        <v>45</v>
      </c>
      <c r="F5" s="117" t="s">
        <v>46</v>
      </c>
      <c r="G5" s="117" t="s">
        <v>47</v>
      </c>
      <c r="H5" s="118" t="s">
        <v>36</v>
      </c>
      <c r="I5" s="117" t="s">
        <v>42</v>
      </c>
      <c r="J5" s="117" t="s">
        <v>43</v>
      </c>
      <c r="K5" s="117" t="s">
        <v>44</v>
      </c>
      <c r="L5" s="117" t="s">
        <v>45</v>
      </c>
      <c r="M5" s="117" t="s">
        <v>46</v>
      </c>
      <c r="N5" s="117" t="s">
        <v>47</v>
      </c>
      <c r="O5" s="118" t="s">
        <v>36</v>
      </c>
      <c r="P5" s="117" t="s">
        <v>42</v>
      </c>
      <c r="Q5" s="117" t="s">
        <v>43</v>
      </c>
      <c r="R5" s="117" t="s">
        <v>44</v>
      </c>
      <c r="S5" s="117" t="s">
        <v>45</v>
      </c>
      <c r="T5" s="117" t="s">
        <v>46</v>
      </c>
      <c r="U5" s="117" t="s">
        <v>47</v>
      </c>
      <c r="V5" s="117" t="s">
        <v>36</v>
      </c>
    </row>
    <row r="6" spans="1:22" x14ac:dyDescent="0.2">
      <c r="H6" s="119"/>
      <c r="K6" s="120"/>
      <c r="O6" s="121"/>
    </row>
    <row r="7" spans="1:22" x14ac:dyDescent="0.2">
      <c r="H7" s="121"/>
      <c r="O7" s="121"/>
    </row>
    <row r="8" spans="1:22" x14ac:dyDescent="0.2">
      <c r="A8" s="114" t="s">
        <v>48</v>
      </c>
      <c r="B8" s="112">
        <v>258</v>
      </c>
      <c r="C8" s="112">
        <v>1449</v>
      </c>
      <c r="D8" s="112">
        <v>2376</v>
      </c>
      <c r="E8" s="112">
        <v>1658</v>
      </c>
      <c r="F8" s="112">
        <v>1173</v>
      </c>
      <c r="G8" s="172" t="s">
        <v>152</v>
      </c>
      <c r="H8" s="122">
        <v>6914</v>
      </c>
      <c r="I8" s="112">
        <v>159</v>
      </c>
      <c r="J8" s="112">
        <v>601</v>
      </c>
      <c r="K8" s="112">
        <v>1178</v>
      </c>
      <c r="L8" s="112">
        <v>1278</v>
      </c>
      <c r="M8" s="112">
        <v>490</v>
      </c>
      <c r="N8" s="172" t="s">
        <v>152</v>
      </c>
      <c r="O8" s="122">
        <v>3706</v>
      </c>
      <c r="P8" s="112">
        <v>417</v>
      </c>
      <c r="Q8" s="112">
        <v>2050</v>
      </c>
      <c r="R8" s="112">
        <v>3554</v>
      </c>
      <c r="S8" s="112">
        <v>2936</v>
      </c>
      <c r="T8" s="112">
        <v>1663</v>
      </c>
      <c r="U8" s="172" t="s">
        <v>152</v>
      </c>
      <c r="V8" s="112">
        <v>10620</v>
      </c>
    </row>
    <row r="9" spans="1:22" x14ac:dyDescent="0.2">
      <c r="A9" s="114" t="s">
        <v>49</v>
      </c>
      <c r="B9" s="112">
        <v>276</v>
      </c>
      <c r="C9" s="112">
        <v>1462</v>
      </c>
      <c r="D9" s="112">
        <v>2413</v>
      </c>
      <c r="E9" s="112">
        <v>1701</v>
      </c>
      <c r="F9" s="112">
        <v>1105</v>
      </c>
      <c r="G9" s="172" t="s">
        <v>152</v>
      </c>
      <c r="H9" s="122">
        <v>6957</v>
      </c>
      <c r="I9" s="112">
        <v>153</v>
      </c>
      <c r="J9" s="112">
        <v>598</v>
      </c>
      <c r="K9" s="112">
        <v>1149</v>
      </c>
      <c r="L9" s="112">
        <v>1252</v>
      </c>
      <c r="M9" s="112">
        <v>501</v>
      </c>
      <c r="N9" s="172" t="s">
        <v>152</v>
      </c>
      <c r="O9" s="122">
        <v>3653</v>
      </c>
      <c r="P9" s="112">
        <v>429</v>
      </c>
      <c r="Q9" s="112">
        <v>2060</v>
      </c>
      <c r="R9" s="112">
        <v>3562</v>
      </c>
      <c r="S9" s="112">
        <v>2953</v>
      </c>
      <c r="T9" s="112">
        <v>1606</v>
      </c>
      <c r="U9" s="172" t="s">
        <v>152</v>
      </c>
      <c r="V9" s="112">
        <v>10610</v>
      </c>
    </row>
    <row r="10" spans="1:22" x14ac:dyDescent="0.2">
      <c r="A10" s="114" t="s">
        <v>50</v>
      </c>
      <c r="B10" s="112">
        <v>289</v>
      </c>
      <c r="C10" s="112">
        <v>1430</v>
      </c>
      <c r="D10" s="112">
        <v>2527</v>
      </c>
      <c r="E10" s="112">
        <v>1797</v>
      </c>
      <c r="F10" s="112">
        <v>1085</v>
      </c>
      <c r="G10" s="172" t="s">
        <v>152</v>
      </c>
      <c r="H10" s="122">
        <v>7128</v>
      </c>
      <c r="I10" s="112">
        <v>145</v>
      </c>
      <c r="J10" s="112">
        <v>572</v>
      </c>
      <c r="K10" s="112">
        <v>1103</v>
      </c>
      <c r="L10" s="112">
        <v>1255</v>
      </c>
      <c r="M10" s="112">
        <v>517</v>
      </c>
      <c r="N10" s="172" t="s">
        <v>152</v>
      </c>
      <c r="O10" s="122">
        <v>3592</v>
      </c>
      <c r="P10" s="112">
        <v>434</v>
      </c>
      <c r="Q10" s="112">
        <v>2002</v>
      </c>
      <c r="R10" s="112">
        <v>3630</v>
      </c>
      <c r="S10" s="112">
        <v>3052</v>
      </c>
      <c r="T10" s="112">
        <v>1602</v>
      </c>
      <c r="U10" s="172" t="s">
        <v>152</v>
      </c>
      <c r="V10" s="112">
        <v>10720</v>
      </c>
    </row>
    <row r="11" spans="1:22" x14ac:dyDescent="0.2">
      <c r="A11" s="114" t="s">
        <v>51</v>
      </c>
      <c r="B11" s="112">
        <v>282</v>
      </c>
      <c r="C11" s="112">
        <v>1443</v>
      </c>
      <c r="D11" s="112">
        <v>2538</v>
      </c>
      <c r="E11" s="112">
        <v>1844</v>
      </c>
      <c r="F11" s="112">
        <v>1084</v>
      </c>
      <c r="G11" s="172" t="s">
        <v>152</v>
      </c>
      <c r="H11" s="122">
        <v>7191</v>
      </c>
      <c r="I11" s="112">
        <v>145</v>
      </c>
      <c r="J11" s="112">
        <v>556</v>
      </c>
      <c r="K11" s="112">
        <v>1123</v>
      </c>
      <c r="L11" s="112">
        <v>1220</v>
      </c>
      <c r="M11" s="112">
        <v>536</v>
      </c>
      <c r="N11" s="172" t="s">
        <v>152</v>
      </c>
      <c r="O11" s="122">
        <v>3580</v>
      </c>
      <c r="P11" s="112">
        <v>427</v>
      </c>
      <c r="Q11" s="112">
        <v>1999</v>
      </c>
      <c r="R11" s="112">
        <v>3661</v>
      </c>
      <c r="S11" s="112">
        <v>3064</v>
      </c>
      <c r="T11" s="112">
        <v>1620</v>
      </c>
      <c r="U11" s="172" t="s">
        <v>152</v>
      </c>
      <c r="V11" s="112">
        <v>10771</v>
      </c>
    </row>
    <row r="12" spans="1:22" x14ac:dyDescent="0.2">
      <c r="A12" s="114" t="s">
        <v>52</v>
      </c>
      <c r="B12" s="112">
        <v>253</v>
      </c>
      <c r="C12" s="112">
        <v>1311</v>
      </c>
      <c r="D12" s="112">
        <v>2525</v>
      </c>
      <c r="E12" s="112">
        <v>1762</v>
      </c>
      <c r="F12" s="112">
        <v>1121</v>
      </c>
      <c r="G12" s="172" t="s">
        <v>152</v>
      </c>
      <c r="H12" s="122">
        <v>6972</v>
      </c>
      <c r="I12" s="112">
        <v>151</v>
      </c>
      <c r="J12" s="112">
        <v>592</v>
      </c>
      <c r="K12" s="112">
        <v>1080</v>
      </c>
      <c r="L12" s="112">
        <v>1206</v>
      </c>
      <c r="M12" s="112">
        <v>540</v>
      </c>
      <c r="N12" s="172" t="s">
        <v>152</v>
      </c>
      <c r="O12" s="122">
        <v>3569</v>
      </c>
      <c r="P12" s="112">
        <v>404</v>
      </c>
      <c r="Q12" s="112">
        <v>1903</v>
      </c>
      <c r="R12" s="112">
        <v>3605</v>
      </c>
      <c r="S12" s="112">
        <v>2968</v>
      </c>
      <c r="T12" s="112">
        <v>1661</v>
      </c>
      <c r="U12" s="172" t="s">
        <v>152</v>
      </c>
      <c r="V12" s="112">
        <v>10541</v>
      </c>
    </row>
    <row r="13" spans="1:22" x14ac:dyDescent="0.2">
      <c r="A13" s="114" t="s">
        <v>53</v>
      </c>
      <c r="B13" s="112">
        <v>211.82170000000002</v>
      </c>
      <c r="C13" s="112">
        <v>1071.4928500000001</v>
      </c>
      <c r="D13" s="112">
        <v>1960.0599500000001</v>
      </c>
      <c r="E13" s="112">
        <v>1539.4013</v>
      </c>
      <c r="F13" s="112">
        <v>933.19650000000001</v>
      </c>
      <c r="G13" s="172" t="s">
        <v>152</v>
      </c>
      <c r="H13" s="122">
        <v>5715.9722999999994</v>
      </c>
      <c r="I13" s="112">
        <v>128.77289999999999</v>
      </c>
      <c r="J13" s="112">
        <v>497.38345000000004</v>
      </c>
      <c r="K13" s="112">
        <v>1012.35405</v>
      </c>
      <c r="L13" s="112">
        <v>1148.1836000000001</v>
      </c>
      <c r="M13" s="112">
        <v>452.19689999999997</v>
      </c>
      <c r="N13" s="172" t="s">
        <v>152</v>
      </c>
      <c r="O13" s="122">
        <v>3238.8909000000003</v>
      </c>
      <c r="P13" s="112">
        <v>340.59460000000001</v>
      </c>
      <c r="Q13" s="112">
        <v>1568.8763000000001</v>
      </c>
      <c r="R13" s="112">
        <v>2972.4140000000002</v>
      </c>
      <c r="S13" s="112">
        <v>2687.5848999999998</v>
      </c>
      <c r="T13" s="112">
        <v>1385.3933999999999</v>
      </c>
      <c r="U13" s="172" t="s">
        <v>152</v>
      </c>
      <c r="V13" s="112">
        <v>9254</v>
      </c>
    </row>
    <row r="14" spans="1:22" x14ac:dyDescent="0.2">
      <c r="A14" s="114" t="s">
        <v>54</v>
      </c>
      <c r="B14" s="112">
        <v>224.90109999999999</v>
      </c>
      <c r="C14" s="112">
        <v>1115.6188500000001</v>
      </c>
      <c r="D14" s="112">
        <v>2033.6049</v>
      </c>
      <c r="E14" s="112">
        <v>1683.59285</v>
      </c>
      <c r="F14" s="112">
        <v>837.76240000000007</v>
      </c>
      <c r="G14" s="172" t="s">
        <v>152</v>
      </c>
      <c r="H14" s="122">
        <v>5895.4801000000007</v>
      </c>
      <c r="I14" s="112">
        <v>139.89725000000001</v>
      </c>
      <c r="J14" s="112">
        <v>510.31709999999998</v>
      </c>
      <c r="K14" s="112">
        <v>1068.3372000000002</v>
      </c>
      <c r="L14" s="112">
        <v>1271.864</v>
      </c>
      <c r="M14" s="112">
        <v>507.48644999999999</v>
      </c>
      <c r="N14" s="172" t="s">
        <v>152</v>
      </c>
      <c r="O14" s="122">
        <v>3497.902</v>
      </c>
      <c r="P14" s="112">
        <v>364.79835000000003</v>
      </c>
      <c r="Q14" s="112">
        <v>1625.93595</v>
      </c>
      <c r="R14" s="112">
        <v>3101.9421000000002</v>
      </c>
      <c r="S14" s="112">
        <v>2955.45685</v>
      </c>
      <c r="T14" s="112">
        <v>1345.2488499999999</v>
      </c>
      <c r="U14" s="172" t="s">
        <v>152</v>
      </c>
      <c r="V14" s="112">
        <v>10043</v>
      </c>
    </row>
    <row r="15" spans="1:22" x14ac:dyDescent="0.2">
      <c r="A15" s="114" t="s">
        <v>55</v>
      </c>
      <c r="B15" s="112">
        <v>212.96185000000003</v>
      </c>
      <c r="C15" s="112">
        <v>1080.4898499999999</v>
      </c>
      <c r="D15" s="112">
        <v>2301.0430999999999</v>
      </c>
      <c r="E15" s="112">
        <v>1793.8646500000002</v>
      </c>
      <c r="F15" s="112">
        <v>1078.2496999999998</v>
      </c>
      <c r="G15" s="172" t="s">
        <v>152</v>
      </c>
      <c r="H15" s="122">
        <v>6466.6091500000002</v>
      </c>
      <c r="I15" s="112">
        <v>144.9349</v>
      </c>
      <c r="J15" s="112">
        <v>488.95704999999998</v>
      </c>
      <c r="K15" s="112">
        <v>1095.1088000000002</v>
      </c>
      <c r="L15" s="112">
        <v>1267.539</v>
      </c>
      <c r="M15" s="112">
        <v>514.50745000000006</v>
      </c>
      <c r="N15" s="172" t="s">
        <v>152</v>
      </c>
      <c r="O15" s="122">
        <v>3511.0472</v>
      </c>
      <c r="P15" s="112">
        <v>357.89675</v>
      </c>
      <c r="Q15" s="112">
        <v>1569.4468999999999</v>
      </c>
      <c r="R15" s="112">
        <v>3396.1518999999998</v>
      </c>
      <c r="S15" s="112">
        <v>3061.4036500000002</v>
      </c>
      <c r="T15" s="112">
        <v>1592.7571499999999</v>
      </c>
      <c r="U15" s="172" t="s">
        <v>152</v>
      </c>
      <c r="V15" s="112">
        <v>10352</v>
      </c>
    </row>
    <row r="16" spans="1:22" x14ac:dyDescent="0.2">
      <c r="A16" s="114" t="s">
        <v>56</v>
      </c>
      <c r="B16" s="112">
        <v>225.55359999999999</v>
      </c>
      <c r="C16" s="112">
        <v>1156.47775</v>
      </c>
      <c r="D16" s="112">
        <v>2212.4596500000002</v>
      </c>
      <c r="E16" s="112">
        <v>1835.0050499999998</v>
      </c>
      <c r="F16" s="112">
        <v>1081.7589</v>
      </c>
      <c r="G16" s="172" t="s">
        <v>152</v>
      </c>
      <c r="H16" s="122">
        <v>6511.2549499999996</v>
      </c>
      <c r="I16" s="112">
        <v>130.99090000000001</v>
      </c>
      <c r="J16" s="112">
        <v>474.49059999999997</v>
      </c>
      <c r="K16" s="112">
        <v>1062.52145</v>
      </c>
      <c r="L16" s="112">
        <v>1218.15175</v>
      </c>
      <c r="M16" s="112">
        <v>472.58134999999999</v>
      </c>
      <c r="N16" s="172" t="s">
        <v>152</v>
      </c>
      <c r="O16" s="122">
        <v>3358.73605</v>
      </c>
      <c r="P16" s="112">
        <v>356.54449999999997</v>
      </c>
      <c r="Q16" s="112">
        <v>1630.9683500000001</v>
      </c>
      <c r="R16" s="112">
        <v>3274.9811</v>
      </c>
      <c r="S16" s="112">
        <v>3053.1567999999997</v>
      </c>
      <c r="T16" s="112">
        <v>1554.34025</v>
      </c>
      <c r="U16" s="172" t="s">
        <v>152</v>
      </c>
      <c r="V16" s="112">
        <v>10027</v>
      </c>
    </row>
    <row r="17" spans="1:22" x14ac:dyDescent="0.2">
      <c r="A17" s="114" t="s">
        <v>57</v>
      </c>
      <c r="B17" s="112">
        <v>216.40445000000003</v>
      </c>
      <c r="C17" s="112">
        <v>1110.5057000000002</v>
      </c>
      <c r="D17" s="112">
        <v>2073.5382</v>
      </c>
      <c r="E17" s="112">
        <v>1753.0047500000001</v>
      </c>
      <c r="F17" s="112">
        <v>1009.0222000000001</v>
      </c>
      <c r="G17" s="172" t="s">
        <v>152</v>
      </c>
      <c r="H17" s="122">
        <v>6162.475300000001</v>
      </c>
      <c r="I17" s="112">
        <v>130.733</v>
      </c>
      <c r="J17" s="112">
        <v>501.34459999999996</v>
      </c>
      <c r="K17" s="112">
        <v>1064.191</v>
      </c>
      <c r="L17" s="112">
        <v>1270.1628500000002</v>
      </c>
      <c r="M17" s="112">
        <v>498.76519999999999</v>
      </c>
      <c r="N17" s="172" t="s">
        <v>152</v>
      </c>
      <c r="O17" s="122">
        <v>3465.1966499999999</v>
      </c>
      <c r="P17" s="112">
        <v>347.13745000000006</v>
      </c>
      <c r="Q17" s="112">
        <v>1611.8503000000001</v>
      </c>
      <c r="R17" s="112">
        <v>3137.7291999999998</v>
      </c>
      <c r="S17" s="112">
        <v>3023.1676000000002</v>
      </c>
      <c r="T17" s="112">
        <v>1507.7874000000002</v>
      </c>
      <c r="U17" s="172" t="s">
        <v>152</v>
      </c>
      <c r="V17" s="112">
        <v>9934</v>
      </c>
    </row>
    <row r="18" spans="1:22" x14ac:dyDescent="0.2">
      <c r="A18" s="114" t="s">
        <v>58</v>
      </c>
      <c r="B18" s="112">
        <v>204.91035000000002</v>
      </c>
      <c r="C18" s="112">
        <v>1051.9077</v>
      </c>
      <c r="D18" s="112">
        <v>2193.9202500000001</v>
      </c>
      <c r="E18" s="112">
        <v>1530.3493000000001</v>
      </c>
      <c r="F18" s="112">
        <v>933.58825000000013</v>
      </c>
      <c r="G18" s="172" t="s">
        <v>152</v>
      </c>
      <c r="H18" s="122">
        <v>5914.6758499999996</v>
      </c>
      <c r="I18" s="112">
        <v>116.9427</v>
      </c>
      <c r="J18" s="112">
        <v>469.19785000000002</v>
      </c>
      <c r="K18" s="112">
        <v>977.16015000000004</v>
      </c>
      <c r="L18" s="112">
        <v>1225.7899499999999</v>
      </c>
      <c r="M18" s="112">
        <v>503.12155000000001</v>
      </c>
      <c r="N18" s="172" t="s">
        <v>152</v>
      </c>
      <c r="O18" s="122">
        <v>3292.2121999999999</v>
      </c>
      <c r="P18" s="112">
        <v>321.85305000000005</v>
      </c>
      <c r="Q18" s="112">
        <v>1521.10555</v>
      </c>
      <c r="R18" s="112">
        <v>3171.0804000000003</v>
      </c>
      <c r="S18" s="112">
        <v>2756.1392500000002</v>
      </c>
      <c r="T18" s="112">
        <v>1436.7098000000001</v>
      </c>
      <c r="U18" s="172" t="s">
        <v>152</v>
      </c>
      <c r="V18" s="112">
        <v>9477</v>
      </c>
    </row>
    <row r="19" spans="1:22" x14ac:dyDescent="0.2">
      <c r="A19" s="114" t="s">
        <v>59</v>
      </c>
      <c r="B19" s="112">
        <v>181.02744999999999</v>
      </c>
      <c r="C19" s="112">
        <v>1041.0219999999999</v>
      </c>
      <c r="D19" s="112">
        <v>2235.27115</v>
      </c>
      <c r="E19" s="112">
        <v>1366.4229</v>
      </c>
      <c r="F19" s="112">
        <v>869.50774999999999</v>
      </c>
      <c r="G19" s="172" t="s">
        <v>152</v>
      </c>
      <c r="H19" s="122">
        <v>5693.2512500000003</v>
      </c>
      <c r="I19" s="112">
        <v>132.90430000000001</v>
      </c>
      <c r="J19" s="112">
        <v>474.44600000000003</v>
      </c>
      <c r="K19" s="112">
        <v>966.45995000000005</v>
      </c>
      <c r="L19" s="112">
        <v>1290.5236500000001</v>
      </c>
      <c r="M19" s="112">
        <v>524.24860000000001</v>
      </c>
      <c r="N19" s="172" t="s">
        <v>152</v>
      </c>
      <c r="O19" s="122">
        <v>3388.5825</v>
      </c>
      <c r="P19" s="112">
        <v>313.93174999999997</v>
      </c>
      <c r="Q19" s="112">
        <v>1515.4679999999998</v>
      </c>
      <c r="R19" s="112">
        <v>3201.7311</v>
      </c>
      <c r="S19" s="112">
        <v>2656.9465500000001</v>
      </c>
      <c r="T19" s="112">
        <v>1393.7563500000001</v>
      </c>
      <c r="U19" s="172" t="s">
        <v>152</v>
      </c>
      <c r="V19" s="112">
        <v>9095</v>
      </c>
    </row>
    <row r="20" spans="1:22" x14ac:dyDescent="0.2">
      <c r="A20" s="114" t="s">
        <v>60</v>
      </c>
      <c r="B20" s="112">
        <v>166.767</v>
      </c>
      <c r="C20" s="112">
        <v>992.34195</v>
      </c>
      <c r="D20" s="112">
        <v>1978.5997000000002</v>
      </c>
      <c r="E20" s="112">
        <v>1362.9087500000001</v>
      </c>
      <c r="F20" s="112">
        <v>804.02670000000001</v>
      </c>
      <c r="G20" s="172" t="s">
        <v>152</v>
      </c>
      <c r="H20" s="122">
        <v>5304.6441000000013</v>
      </c>
      <c r="I20" s="112">
        <v>122.35780000000001</v>
      </c>
      <c r="J20" s="112">
        <v>415.14904999999999</v>
      </c>
      <c r="K20" s="112">
        <v>974.22834999999998</v>
      </c>
      <c r="L20" s="112">
        <v>1191.98125</v>
      </c>
      <c r="M20" s="112">
        <v>510.35255000000001</v>
      </c>
      <c r="N20" s="172" t="s">
        <v>152</v>
      </c>
      <c r="O20" s="122">
        <v>3214.069</v>
      </c>
      <c r="P20" s="112">
        <v>289.12479999999999</v>
      </c>
      <c r="Q20" s="112">
        <v>1407.491</v>
      </c>
      <c r="R20" s="112">
        <v>2952.8280500000001</v>
      </c>
      <c r="S20" s="112">
        <v>2554.8900000000003</v>
      </c>
      <c r="T20" s="112">
        <v>1314.37925</v>
      </c>
      <c r="U20" s="172" t="s">
        <v>152</v>
      </c>
      <c r="V20" s="112">
        <v>8518.7131000000008</v>
      </c>
    </row>
    <row r="21" spans="1:22" x14ac:dyDescent="0.2">
      <c r="A21" s="114" t="s">
        <v>61</v>
      </c>
      <c r="B21" s="112">
        <v>151.1207</v>
      </c>
      <c r="C21" s="112">
        <v>963.55830000000003</v>
      </c>
      <c r="D21" s="112">
        <v>1945.1518000000003</v>
      </c>
      <c r="E21" s="112">
        <v>1260.3751</v>
      </c>
      <c r="F21" s="112">
        <v>802.78414999999995</v>
      </c>
      <c r="G21" s="172" t="s">
        <v>152</v>
      </c>
      <c r="H21" s="122">
        <v>5122.9900500000003</v>
      </c>
      <c r="I21" s="112">
        <v>123.99589999999999</v>
      </c>
      <c r="J21" s="112">
        <v>396.91044999999997</v>
      </c>
      <c r="K21" s="112">
        <v>814.74310000000003</v>
      </c>
      <c r="L21" s="112">
        <v>1239.9265</v>
      </c>
      <c r="M21" s="112">
        <v>499.93955000000005</v>
      </c>
      <c r="N21" s="172" t="s">
        <v>152</v>
      </c>
      <c r="O21" s="122">
        <v>3075.5155</v>
      </c>
      <c r="P21" s="112">
        <v>275.11660000000001</v>
      </c>
      <c r="Q21" s="112">
        <v>1360.46875</v>
      </c>
      <c r="R21" s="112">
        <v>2759.8949000000002</v>
      </c>
      <c r="S21" s="112">
        <v>2500.3015999999998</v>
      </c>
      <c r="T21" s="112">
        <v>1302.7237</v>
      </c>
      <c r="U21" s="172" t="s">
        <v>152</v>
      </c>
      <c r="V21" s="112">
        <v>8198.5055499999999</v>
      </c>
    </row>
    <row r="22" spans="1:22" x14ac:dyDescent="0.2">
      <c r="A22" s="114" t="s">
        <v>62</v>
      </c>
      <c r="B22" s="112">
        <v>133.84825000000001</v>
      </c>
      <c r="C22" s="112">
        <v>940.83805000000007</v>
      </c>
      <c r="D22" s="112">
        <v>1806.46405</v>
      </c>
      <c r="E22" s="112">
        <v>1183.5010499999999</v>
      </c>
      <c r="F22" s="112">
        <v>745.11185</v>
      </c>
      <c r="G22" s="172" t="s">
        <v>152</v>
      </c>
      <c r="H22" s="122">
        <v>4809.76325</v>
      </c>
      <c r="I22" s="112">
        <v>127.91720000000001</v>
      </c>
      <c r="J22" s="112">
        <v>399.85820000000001</v>
      </c>
      <c r="K22" s="112">
        <v>819.37064999999996</v>
      </c>
      <c r="L22" s="112">
        <v>1233.4532499999998</v>
      </c>
      <c r="M22" s="112">
        <v>472.62455</v>
      </c>
      <c r="N22" s="172" t="s">
        <v>152</v>
      </c>
      <c r="O22" s="122">
        <v>3053.2238499999999</v>
      </c>
      <c r="P22" s="112">
        <v>261.76544999999999</v>
      </c>
      <c r="Q22" s="112">
        <v>1340.69625</v>
      </c>
      <c r="R22" s="112">
        <v>2625.8346999999999</v>
      </c>
      <c r="S22" s="112">
        <v>2416.9542999999994</v>
      </c>
      <c r="T22" s="112">
        <v>1217.7364</v>
      </c>
      <c r="U22" s="172" t="s">
        <v>152</v>
      </c>
      <c r="V22" s="112">
        <v>7862.9871000000003</v>
      </c>
    </row>
    <row r="23" spans="1:22" x14ac:dyDescent="0.2">
      <c r="A23" s="114" t="s">
        <v>63</v>
      </c>
      <c r="B23" s="112">
        <v>107.88965</v>
      </c>
      <c r="C23" s="112">
        <v>835.48980000000006</v>
      </c>
      <c r="D23" s="112">
        <v>1797.43435</v>
      </c>
      <c r="E23" s="112">
        <v>998.09439999999995</v>
      </c>
      <c r="F23" s="112">
        <v>610.01659999999993</v>
      </c>
      <c r="G23" s="172" t="s">
        <v>152</v>
      </c>
      <c r="H23" s="122">
        <v>4348.9247999999998</v>
      </c>
      <c r="I23" s="112">
        <v>124.39614999999999</v>
      </c>
      <c r="J23" s="112">
        <v>461.28860000000003</v>
      </c>
      <c r="K23" s="112">
        <v>849.04719999999998</v>
      </c>
      <c r="L23" s="112">
        <v>1174.57</v>
      </c>
      <c r="M23" s="112">
        <v>514.07159999999999</v>
      </c>
      <c r="N23" s="172" t="s">
        <v>152</v>
      </c>
      <c r="O23" s="122">
        <v>3123.3735500000003</v>
      </c>
      <c r="P23" s="112">
        <v>232.28579999999999</v>
      </c>
      <c r="Q23" s="112">
        <v>1296.7784000000001</v>
      </c>
      <c r="R23" s="112">
        <v>2646.48155</v>
      </c>
      <c r="S23" s="112">
        <v>2172.6643999999997</v>
      </c>
      <c r="T23" s="112">
        <v>1124.0881999999999</v>
      </c>
      <c r="U23" s="172" t="s">
        <v>152</v>
      </c>
      <c r="V23" s="112">
        <v>7472.29835</v>
      </c>
    </row>
    <row r="24" spans="1:22" x14ac:dyDescent="0.2">
      <c r="A24" s="114" t="s">
        <v>64</v>
      </c>
      <c r="B24" s="112">
        <v>107.85375000000001</v>
      </c>
      <c r="C24" s="112">
        <v>810.06448598130839</v>
      </c>
      <c r="D24" s="112">
        <v>1698.4897196261682</v>
      </c>
      <c r="E24" s="112">
        <v>956.78224299065414</v>
      </c>
      <c r="F24" s="112">
        <v>590.33457943925237</v>
      </c>
      <c r="G24" s="172" t="s">
        <v>152</v>
      </c>
      <c r="H24" s="122">
        <v>4163.5247780373829</v>
      </c>
      <c r="I24" s="112">
        <v>123.85233644859811</v>
      </c>
      <c r="J24" s="112">
        <v>421.20388364485979</v>
      </c>
      <c r="K24" s="112">
        <v>845.14112149532707</v>
      </c>
      <c r="L24" s="112">
        <v>1198.1850467289719</v>
      </c>
      <c r="M24" s="112">
        <v>486.67196261682244</v>
      </c>
      <c r="N24" s="172" t="s">
        <v>152</v>
      </c>
      <c r="O24" s="122">
        <v>3075.0543509345794</v>
      </c>
      <c r="P24" s="112">
        <v>231.70608644859811</v>
      </c>
      <c r="Q24" s="112">
        <v>1231.2683696261681</v>
      </c>
      <c r="R24" s="112">
        <v>2543.630841121495</v>
      </c>
      <c r="S24" s="112">
        <v>2154.967289719626</v>
      </c>
      <c r="T24" s="112">
        <v>1077.0065420560747</v>
      </c>
      <c r="U24" s="172" t="s">
        <v>152</v>
      </c>
      <c r="V24" s="112">
        <v>7238.5791289719618</v>
      </c>
    </row>
    <row r="25" spans="1:22" x14ac:dyDescent="0.2">
      <c r="A25" s="114" t="s">
        <v>65</v>
      </c>
      <c r="B25" s="112">
        <v>120.22340514018693</v>
      </c>
      <c r="C25" s="112">
        <v>830.06594439252342</v>
      </c>
      <c r="D25" s="112">
        <v>1840.2791429906542</v>
      </c>
      <c r="E25" s="112">
        <v>976.97385700934581</v>
      </c>
      <c r="F25" s="112">
        <v>632.75957196261686</v>
      </c>
      <c r="G25" s="172" t="s">
        <v>152</v>
      </c>
      <c r="H25" s="122">
        <v>4400.3019214953274</v>
      </c>
      <c r="I25" s="112">
        <v>120.09472149532709</v>
      </c>
      <c r="J25" s="112">
        <v>445.01388644859816</v>
      </c>
      <c r="K25" s="112">
        <v>895.4499705607476</v>
      </c>
      <c r="L25" s="112">
        <v>1218.0822275700934</v>
      </c>
      <c r="M25" s="112">
        <v>520.14362803738322</v>
      </c>
      <c r="N25" s="172" t="s">
        <v>152</v>
      </c>
      <c r="O25" s="122">
        <v>3198.7844341121495</v>
      </c>
      <c r="P25" s="112">
        <v>240.31812663551403</v>
      </c>
      <c r="Q25" s="112">
        <v>1275.0798308411215</v>
      </c>
      <c r="R25" s="112">
        <v>2735.729113551402</v>
      </c>
      <c r="S25" s="112">
        <v>2195.0560845794394</v>
      </c>
      <c r="T25" s="112">
        <v>1152.9032000000002</v>
      </c>
      <c r="U25" s="172" t="s">
        <v>152</v>
      </c>
      <c r="V25" s="112">
        <v>7599.0863556074764</v>
      </c>
    </row>
    <row r="26" spans="1:22" x14ac:dyDescent="0.2">
      <c r="A26" s="114" t="s">
        <v>66</v>
      </c>
      <c r="B26" s="112">
        <v>112.14953271028037</v>
      </c>
      <c r="C26" s="112">
        <v>764.54899999999998</v>
      </c>
      <c r="D26" s="112">
        <v>1866.0849500000002</v>
      </c>
      <c r="E26" s="112">
        <v>942.46</v>
      </c>
      <c r="F26" s="112">
        <v>613.88250000000005</v>
      </c>
      <c r="G26" s="172" t="s">
        <v>152</v>
      </c>
      <c r="H26" s="122">
        <v>4299.1259827102804</v>
      </c>
      <c r="I26" s="112">
        <v>124.12450000000001</v>
      </c>
      <c r="J26" s="112">
        <v>496.44749999999999</v>
      </c>
      <c r="K26" s="112">
        <v>922.53600000000006</v>
      </c>
      <c r="L26" s="112">
        <v>1208.33</v>
      </c>
      <c r="M26" s="112">
        <v>563.85500000000002</v>
      </c>
      <c r="N26" s="172" t="s">
        <v>152</v>
      </c>
      <c r="O26" s="122">
        <v>3315.2930000000001</v>
      </c>
      <c r="P26" s="112">
        <v>236.27403271028038</v>
      </c>
      <c r="Q26" s="112">
        <v>1260.9965</v>
      </c>
      <c r="R26" s="112">
        <v>2788.6209500000004</v>
      </c>
      <c r="S26" s="112">
        <v>2150.79</v>
      </c>
      <c r="T26" s="112">
        <v>1177.7375000000002</v>
      </c>
      <c r="U26" s="172" t="s">
        <v>152</v>
      </c>
      <c r="V26" s="112">
        <v>7614.41898271028</v>
      </c>
    </row>
    <row r="27" spans="1:22" x14ac:dyDescent="0.2">
      <c r="A27" s="114" t="s">
        <v>67</v>
      </c>
      <c r="B27" s="112">
        <v>107</v>
      </c>
      <c r="C27" s="112">
        <v>850</v>
      </c>
      <c r="D27" s="112">
        <v>1882</v>
      </c>
      <c r="E27" s="112">
        <v>999</v>
      </c>
      <c r="F27" s="112">
        <v>627</v>
      </c>
      <c r="G27" s="172" t="s">
        <v>152</v>
      </c>
      <c r="H27" s="122">
        <v>4465</v>
      </c>
      <c r="I27" s="112">
        <v>124</v>
      </c>
      <c r="J27" s="112">
        <v>466</v>
      </c>
      <c r="K27" s="112">
        <v>940</v>
      </c>
      <c r="L27" s="112">
        <v>1144</v>
      </c>
      <c r="M27" s="112">
        <v>585</v>
      </c>
      <c r="N27" s="172" t="s">
        <v>152</v>
      </c>
      <c r="O27" s="122">
        <v>3259</v>
      </c>
      <c r="P27" s="112">
        <v>231</v>
      </c>
      <c r="Q27" s="112">
        <v>1316</v>
      </c>
      <c r="R27" s="112">
        <v>2822</v>
      </c>
      <c r="S27" s="112">
        <v>2143</v>
      </c>
      <c r="T27" s="112">
        <v>1212</v>
      </c>
      <c r="U27" s="172" t="s">
        <v>152</v>
      </c>
      <c r="V27" s="112">
        <v>7724</v>
      </c>
    </row>
    <row r="28" spans="1:22" x14ac:dyDescent="0.2">
      <c r="A28" s="114" t="s">
        <v>25</v>
      </c>
      <c r="B28" s="112">
        <v>99</v>
      </c>
      <c r="C28" s="112">
        <v>886</v>
      </c>
      <c r="D28" s="112">
        <v>1962</v>
      </c>
      <c r="E28" s="112">
        <v>1070</v>
      </c>
      <c r="F28" s="112">
        <v>634</v>
      </c>
      <c r="G28" s="172" t="s">
        <v>152</v>
      </c>
      <c r="H28" s="122">
        <v>4651</v>
      </c>
      <c r="I28" s="112">
        <v>118</v>
      </c>
      <c r="J28" s="112">
        <v>461</v>
      </c>
      <c r="K28" s="112">
        <v>1014</v>
      </c>
      <c r="L28" s="112">
        <v>1175</v>
      </c>
      <c r="M28" s="112">
        <v>618</v>
      </c>
      <c r="N28" s="172" t="s">
        <v>152</v>
      </c>
      <c r="O28" s="122">
        <v>3386</v>
      </c>
      <c r="P28" s="112">
        <v>217</v>
      </c>
      <c r="Q28" s="112">
        <v>1347</v>
      </c>
      <c r="R28" s="112">
        <v>2976</v>
      </c>
      <c r="S28" s="112">
        <v>2245</v>
      </c>
      <c r="T28" s="112">
        <v>1252</v>
      </c>
      <c r="U28" s="172" t="s">
        <v>152</v>
      </c>
      <c r="V28" s="112">
        <v>8037</v>
      </c>
    </row>
    <row r="29" spans="1:22" x14ac:dyDescent="0.2">
      <c r="A29" s="123" t="s">
        <v>26</v>
      </c>
      <c r="B29" s="112">
        <v>118</v>
      </c>
      <c r="C29" s="112">
        <v>865</v>
      </c>
      <c r="D29" s="112">
        <v>1868</v>
      </c>
      <c r="E29" s="112">
        <v>1078</v>
      </c>
      <c r="F29" s="112">
        <v>667</v>
      </c>
      <c r="G29" s="172" t="s">
        <v>152</v>
      </c>
      <c r="H29" s="122">
        <v>4596</v>
      </c>
      <c r="I29" s="112">
        <v>109</v>
      </c>
      <c r="J29" s="112">
        <v>472</v>
      </c>
      <c r="K29" s="112">
        <v>1057</v>
      </c>
      <c r="L29" s="112">
        <v>1194</v>
      </c>
      <c r="M29" s="112">
        <v>634</v>
      </c>
      <c r="N29" s="172" t="s">
        <v>152</v>
      </c>
      <c r="O29" s="122">
        <v>3466</v>
      </c>
      <c r="P29" s="112">
        <v>227</v>
      </c>
      <c r="Q29" s="112">
        <v>1337</v>
      </c>
      <c r="R29" s="112">
        <v>2925</v>
      </c>
      <c r="S29" s="112">
        <v>2272</v>
      </c>
      <c r="T29" s="112">
        <v>1301</v>
      </c>
      <c r="U29" s="172" t="s">
        <v>152</v>
      </c>
      <c r="V29" s="112">
        <v>8062</v>
      </c>
    </row>
    <row r="30" spans="1:22" x14ac:dyDescent="0.2">
      <c r="A30" s="123" t="s">
        <v>68</v>
      </c>
      <c r="B30" s="112">
        <v>131.53800000000001</v>
      </c>
      <c r="C30" s="112">
        <v>853.375</v>
      </c>
      <c r="D30" s="112">
        <v>1767.6120000000001</v>
      </c>
      <c r="E30" s="112">
        <v>1155.085</v>
      </c>
      <c r="F30" s="112">
        <v>683.17200000000003</v>
      </c>
      <c r="G30" s="172" t="s">
        <v>152</v>
      </c>
      <c r="H30" s="122">
        <v>4590.7809999999999</v>
      </c>
      <c r="I30" s="112">
        <v>104.892</v>
      </c>
      <c r="J30" s="112">
        <v>475.87</v>
      </c>
      <c r="K30" s="112">
        <v>1178.049</v>
      </c>
      <c r="L30" s="112">
        <v>1217.2380000000001</v>
      </c>
      <c r="M30" s="112">
        <v>692.298</v>
      </c>
      <c r="N30" s="172" t="s">
        <v>152</v>
      </c>
      <c r="O30" s="122">
        <v>3678.732</v>
      </c>
      <c r="P30" s="112">
        <v>236.43</v>
      </c>
      <c r="Q30" s="112">
        <v>1329.2449999999999</v>
      </c>
      <c r="R30" s="112">
        <v>2945.6610000000001</v>
      </c>
      <c r="S30" s="112">
        <v>2372.3230000000003</v>
      </c>
      <c r="T30" s="112">
        <v>1375.47</v>
      </c>
      <c r="U30" s="172" t="s">
        <v>152</v>
      </c>
      <c r="V30" s="112">
        <v>8269.512999999999</v>
      </c>
    </row>
    <row r="31" spans="1:22" x14ac:dyDescent="0.2">
      <c r="A31" s="123" t="s">
        <v>69</v>
      </c>
      <c r="B31" s="112">
        <v>124.376</v>
      </c>
      <c r="C31" s="112">
        <v>908.33199999999999</v>
      </c>
      <c r="D31" s="112">
        <v>1835.673</v>
      </c>
      <c r="E31" s="112">
        <v>1231.1469999999999</v>
      </c>
      <c r="F31" s="112">
        <v>698.49099999999999</v>
      </c>
      <c r="G31" s="172" t="s">
        <v>152</v>
      </c>
      <c r="H31" s="122">
        <v>4804.6919500000004</v>
      </c>
      <c r="I31" s="112">
        <v>102.63160000000001</v>
      </c>
      <c r="J31" s="112">
        <v>475.55</v>
      </c>
      <c r="K31" s="112">
        <v>1123.492</v>
      </c>
      <c r="L31" s="112">
        <v>1229.818</v>
      </c>
      <c r="M31" s="112">
        <v>658.67700000000002</v>
      </c>
      <c r="N31" s="172" t="s">
        <v>152</v>
      </c>
      <c r="O31" s="122">
        <v>3620.0756000000001</v>
      </c>
      <c r="P31" s="112">
        <v>227.00760000000002</v>
      </c>
      <c r="Q31" s="112">
        <v>1383.8820000000001</v>
      </c>
      <c r="R31" s="112">
        <v>2959.165</v>
      </c>
      <c r="S31" s="112">
        <v>2460.9650000000001</v>
      </c>
      <c r="T31" s="112">
        <v>1357.1680000000001</v>
      </c>
      <c r="U31" s="172" t="s">
        <v>152</v>
      </c>
      <c r="V31" s="112">
        <v>8424.7675500000005</v>
      </c>
    </row>
    <row r="32" spans="1:22" x14ac:dyDescent="0.2">
      <c r="A32" s="123" t="s">
        <v>27</v>
      </c>
      <c r="B32" s="112">
        <v>139.733</v>
      </c>
      <c r="C32" s="112">
        <v>960.88700000000006</v>
      </c>
      <c r="D32" s="112">
        <v>1833.4380000000001</v>
      </c>
      <c r="E32" s="112">
        <v>1329.3520000000001</v>
      </c>
      <c r="F32" s="112">
        <v>699.75300000000004</v>
      </c>
      <c r="G32" s="112">
        <v>19.529</v>
      </c>
      <c r="H32" s="122">
        <v>4982.6890000000003</v>
      </c>
      <c r="I32" s="112">
        <v>109.03</v>
      </c>
      <c r="J32" s="112">
        <v>439.83699999999999</v>
      </c>
      <c r="K32" s="112">
        <v>1086.74</v>
      </c>
      <c r="L32" s="112">
        <v>1265.414</v>
      </c>
      <c r="M32" s="112">
        <v>681.92700000000002</v>
      </c>
      <c r="N32" s="112">
        <v>80.296000000000006</v>
      </c>
      <c r="O32" s="122">
        <v>3663.2530000000002</v>
      </c>
      <c r="P32" s="112">
        <v>248.76300000000001</v>
      </c>
      <c r="Q32" s="112">
        <v>1400.7240000000002</v>
      </c>
      <c r="R32" s="112">
        <v>2920.1779999999999</v>
      </c>
      <c r="S32" s="112">
        <v>2594.7660000000001</v>
      </c>
      <c r="T32" s="112">
        <v>1381.68</v>
      </c>
      <c r="U32" s="112">
        <v>99.825000000000003</v>
      </c>
      <c r="V32" s="112">
        <v>8645.9420000000009</v>
      </c>
    </row>
    <row r="33" spans="1:22" x14ac:dyDescent="0.2">
      <c r="A33" s="123" t="s">
        <v>70</v>
      </c>
      <c r="B33" s="112">
        <v>139.65600000000001</v>
      </c>
      <c r="C33" s="112">
        <v>912.71600000000001</v>
      </c>
      <c r="D33" s="112">
        <v>1823.7540000000001</v>
      </c>
      <c r="E33" s="112">
        <v>1456.817</v>
      </c>
      <c r="F33" s="112">
        <v>744.68899999999996</v>
      </c>
      <c r="G33" s="112">
        <v>19.884</v>
      </c>
      <c r="H33" s="122">
        <v>5097.5129999999999</v>
      </c>
      <c r="I33" s="112">
        <v>100.157</v>
      </c>
      <c r="J33" s="112">
        <v>440.79599999999999</v>
      </c>
      <c r="K33" s="112">
        <v>1134.143</v>
      </c>
      <c r="L33" s="112">
        <v>1289.1990000000001</v>
      </c>
      <c r="M33" s="112">
        <v>684.755</v>
      </c>
      <c r="N33" s="112">
        <v>54.249000000000002</v>
      </c>
      <c r="O33" s="122">
        <v>3703.3050000000003</v>
      </c>
      <c r="P33" s="112">
        <v>239.81299999999999</v>
      </c>
      <c r="Q33" s="112">
        <v>1353.5119999999999</v>
      </c>
      <c r="R33" s="112">
        <v>2957.8969999999999</v>
      </c>
      <c r="S33" s="112">
        <v>2746.0160000000001</v>
      </c>
      <c r="T33" s="112">
        <v>1429.444</v>
      </c>
      <c r="U33" s="112">
        <v>74.13300000000001</v>
      </c>
      <c r="V33" s="112">
        <v>8800.8179999999993</v>
      </c>
    </row>
    <row r="34" spans="1:22" x14ac:dyDescent="0.2">
      <c r="A34" s="123" t="s">
        <v>28</v>
      </c>
      <c r="B34" s="112">
        <v>148.63900000000001</v>
      </c>
      <c r="C34" s="112">
        <v>911.65200000000004</v>
      </c>
      <c r="D34" s="112">
        <v>1914.0119999999999</v>
      </c>
      <c r="E34" s="112">
        <v>1517.309</v>
      </c>
      <c r="F34" s="112">
        <v>688.03600000000006</v>
      </c>
      <c r="G34" s="112">
        <v>25.213000000000001</v>
      </c>
      <c r="H34" s="122">
        <v>5204.8550000000005</v>
      </c>
      <c r="I34" s="112">
        <v>120.21300000000001</v>
      </c>
      <c r="J34" s="112">
        <v>443.91</v>
      </c>
      <c r="K34" s="112">
        <v>1180.5609999999999</v>
      </c>
      <c r="L34" s="112">
        <v>1243.52</v>
      </c>
      <c r="M34" s="112">
        <v>706.78800000000001</v>
      </c>
      <c r="N34" s="112">
        <v>64.335999999999999</v>
      </c>
      <c r="O34" s="122">
        <v>3759.328</v>
      </c>
      <c r="P34" s="112">
        <v>268.85200000000003</v>
      </c>
      <c r="Q34" s="112">
        <v>1355.5620000000001</v>
      </c>
      <c r="R34" s="112">
        <v>3094.5729999999999</v>
      </c>
      <c r="S34" s="112">
        <v>2760.8289999999997</v>
      </c>
      <c r="T34" s="112">
        <v>1394.8240000000001</v>
      </c>
      <c r="U34" s="112">
        <v>89.549000000000007</v>
      </c>
      <c r="V34" s="112">
        <v>8964.1830000000009</v>
      </c>
    </row>
    <row r="35" spans="1:22" x14ac:dyDescent="0.2">
      <c r="A35" s="123" t="s">
        <v>71</v>
      </c>
      <c r="B35" s="112">
        <v>162.62800000000001</v>
      </c>
      <c r="C35" s="112">
        <v>925.27700000000004</v>
      </c>
      <c r="D35" s="112">
        <v>1962.1220000000001</v>
      </c>
      <c r="E35" s="112">
        <v>1558.67</v>
      </c>
      <c r="F35" s="112">
        <v>646.42500000000007</v>
      </c>
      <c r="G35" s="112">
        <v>17.231999999999999</v>
      </c>
      <c r="H35" s="122">
        <v>5272.3469999999998</v>
      </c>
      <c r="I35" s="112">
        <v>121.39700000000001</v>
      </c>
      <c r="J35" s="112">
        <v>444.87200000000001</v>
      </c>
      <c r="K35" s="112">
        <v>1164.0319999999999</v>
      </c>
      <c r="L35" s="112">
        <v>1292.3220000000001</v>
      </c>
      <c r="M35" s="112">
        <v>732.16399999999999</v>
      </c>
      <c r="N35" s="112">
        <v>73.308000000000007</v>
      </c>
      <c r="O35" s="122">
        <v>3828.09</v>
      </c>
      <c r="P35" s="112">
        <v>284.02500000000003</v>
      </c>
      <c r="Q35" s="112">
        <v>1370.1490000000001</v>
      </c>
      <c r="R35" s="112">
        <v>3126.154</v>
      </c>
      <c r="S35" s="112">
        <v>2850.9920000000002</v>
      </c>
      <c r="T35" s="112">
        <v>1378.5889999999999</v>
      </c>
      <c r="U35" s="112">
        <v>90.54</v>
      </c>
      <c r="V35" s="112">
        <v>9100.4369999999999</v>
      </c>
    </row>
    <row r="36" spans="1:22" x14ac:dyDescent="0.2">
      <c r="A36" s="123" t="s">
        <v>72</v>
      </c>
      <c r="B36" s="112">
        <v>185.57</v>
      </c>
      <c r="C36" s="112">
        <v>904.82299999999998</v>
      </c>
      <c r="D36" s="112">
        <v>2098.9690000000001</v>
      </c>
      <c r="E36" s="112">
        <v>1562.51</v>
      </c>
      <c r="F36" s="112">
        <v>685.404</v>
      </c>
      <c r="G36" s="112">
        <v>20.934999999999999</v>
      </c>
      <c r="H36" s="122">
        <v>5458.2089999999998</v>
      </c>
      <c r="I36" s="112">
        <v>97.94</v>
      </c>
      <c r="J36" s="112">
        <v>491.714</v>
      </c>
      <c r="K36" s="112">
        <v>1109.4470000000001</v>
      </c>
      <c r="L36" s="112">
        <v>1261.1300000000001</v>
      </c>
      <c r="M36" s="112">
        <v>729.21299999999997</v>
      </c>
      <c r="N36" s="112">
        <v>65.36</v>
      </c>
      <c r="O36" s="122">
        <v>3754.8050000000003</v>
      </c>
      <c r="P36" s="112">
        <v>283.51</v>
      </c>
      <c r="Q36" s="112">
        <v>1396.537</v>
      </c>
      <c r="R36" s="112">
        <v>3208.4160000000002</v>
      </c>
      <c r="S36" s="112">
        <v>2823.6400000000003</v>
      </c>
      <c r="T36" s="112">
        <v>1414.617</v>
      </c>
      <c r="U36" s="112">
        <v>86.295000000000002</v>
      </c>
      <c r="V36" s="112">
        <v>9213.0139999999992</v>
      </c>
    </row>
    <row r="37" spans="1:22" x14ac:dyDescent="0.2">
      <c r="A37" s="123" t="s">
        <v>29</v>
      </c>
      <c r="B37" s="112">
        <v>182.73099999999999</v>
      </c>
      <c r="C37" s="112">
        <v>942.61900000000003</v>
      </c>
      <c r="D37" s="112">
        <v>2122.8540000000003</v>
      </c>
      <c r="E37" s="112">
        <v>1652.0509999999999</v>
      </c>
      <c r="F37" s="112">
        <v>713.45500000000004</v>
      </c>
      <c r="G37" s="112">
        <v>16.763999999999999</v>
      </c>
      <c r="H37" s="122">
        <v>5630.4769999999999</v>
      </c>
      <c r="I37" s="112">
        <v>99.802000000000007</v>
      </c>
      <c r="J37" s="112">
        <v>505.209</v>
      </c>
      <c r="K37" s="112">
        <v>1112.405</v>
      </c>
      <c r="L37" s="112">
        <v>1312.2940000000001</v>
      </c>
      <c r="M37" s="112">
        <v>712.04100000000005</v>
      </c>
      <c r="N37" s="112">
        <v>61.483000000000004</v>
      </c>
      <c r="O37" s="122">
        <v>3803.232</v>
      </c>
      <c r="P37" s="112">
        <v>282.53300000000002</v>
      </c>
      <c r="Q37" s="112">
        <v>1447.828</v>
      </c>
      <c r="R37" s="112">
        <v>3235.259</v>
      </c>
      <c r="S37" s="112">
        <v>2964.3450000000003</v>
      </c>
      <c r="T37" s="112">
        <v>1425.4960000000001</v>
      </c>
      <c r="U37" s="112">
        <v>78.247</v>
      </c>
      <c r="V37" s="112">
        <v>9433.7089999999989</v>
      </c>
    </row>
    <row r="38" spans="1:22" x14ac:dyDescent="0.2">
      <c r="A38" s="123" t="s">
        <v>73</v>
      </c>
      <c r="B38" s="112">
        <v>166.614</v>
      </c>
      <c r="C38" s="112">
        <v>923.80500000000006</v>
      </c>
      <c r="D38" s="112">
        <v>2002.616</v>
      </c>
      <c r="E38" s="112">
        <v>1619.761</v>
      </c>
      <c r="F38" s="112">
        <v>768.16499999999996</v>
      </c>
      <c r="G38" s="112">
        <v>9.859</v>
      </c>
      <c r="H38" s="122">
        <v>5490.817</v>
      </c>
      <c r="I38" s="112">
        <v>117.514</v>
      </c>
      <c r="J38" s="112">
        <v>522.30100000000004</v>
      </c>
      <c r="K38" s="112">
        <v>1126.99</v>
      </c>
      <c r="L38" s="112">
        <v>1358.145</v>
      </c>
      <c r="M38" s="112">
        <v>706.85699999999997</v>
      </c>
      <c r="N38" s="112">
        <v>60.701999999999998</v>
      </c>
      <c r="O38" s="122">
        <v>3892.5059999999999</v>
      </c>
      <c r="P38" s="112">
        <v>284.12799999999999</v>
      </c>
      <c r="Q38" s="112">
        <v>1446.1060000000002</v>
      </c>
      <c r="R38" s="112">
        <v>3129.6059999999998</v>
      </c>
      <c r="S38" s="112">
        <v>2977.9059999999999</v>
      </c>
      <c r="T38" s="112">
        <v>1475.0219999999999</v>
      </c>
      <c r="U38" s="112">
        <v>70.560999999999993</v>
      </c>
      <c r="V38" s="112">
        <v>9383.3230000000003</v>
      </c>
    </row>
    <row r="39" spans="1:22" x14ac:dyDescent="0.2">
      <c r="A39" s="123">
        <v>2001</v>
      </c>
      <c r="B39" s="112">
        <v>170.14400000000001</v>
      </c>
      <c r="C39" s="112">
        <v>871.899</v>
      </c>
      <c r="D39" s="112">
        <v>2014.4760000000001</v>
      </c>
      <c r="E39" s="112">
        <v>1562.75</v>
      </c>
      <c r="F39" s="112">
        <v>783.24800000000005</v>
      </c>
      <c r="G39" s="112">
        <v>8.6389999999999993</v>
      </c>
      <c r="H39" s="122">
        <v>5411.1450000000004</v>
      </c>
      <c r="I39" s="112">
        <v>111.867</v>
      </c>
      <c r="J39" s="112">
        <v>529.34699999999998</v>
      </c>
      <c r="K39" s="112">
        <v>1149.6949999999999</v>
      </c>
      <c r="L39" s="112">
        <v>1342.604</v>
      </c>
      <c r="M39" s="112">
        <v>728.24</v>
      </c>
      <c r="N39" s="112">
        <v>58.103000000000002</v>
      </c>
      <c r="O39" s="122">
        <v>3919.8510000000001</v>
      </c>
      <c r="P39" s="112">
        <v>282.01100000000002</v>
      </c>
      <c r="Q39" s="112">
        <v>1401.2460000000001</v>
      </c>
      <c r="R39" s="112">
        <v>3164.1710000000003</v>
      </c>
      <c r="S39" s="112">
        <v>2905.3540000000003</v>
      </c>
      <c r="T39" s="112">
        <v>1511.4880000000001</v>
      </c>
      <c r="U39" s="112">
        <v>66.742000000000004</v>
      </c>
      <c r="V39" s="112">
        <v>9330.996000000001</v>
      </c>
    </row>
    <row r="40" spans="1:22" x14ac:dyDescent="0.2">
      <c r="A40" s="123">
        <v>2002</v>
      </c>
      <c r="B40" s="112">
        <v>154.101</v>
      </c>
      <c r="C40" s="112">
        <v>842.32600000000002</v>
      </c>
      <c r="D40" s="112">
        <v>1909.3580000000002</v>
      </c>
      <c r="E40" s="112">
        <v>1410.348</v>
      </c>
      <c r="F40" s="112">
        <v>807.1930000000001</v>
      </c>
      <c r="G40" s="112">
        <v>4.4329999999999998</v>
      </c>
      <c r="H40" s="122">
        <v>5127.759</v>
      </c>
      <c r="I40" s="112">
        <v>124.08399999999999</v>
      </c>
      <c r="J40" s="112">
        <v>610.56700000000001</v>
      </c>
      <c r="K40" s="112">
        <v>1122.8910000000001</v>
      </c>
      <c r="L40" s="112">
        <v>1476.7930000000001</v>
      </c>
      <c r="M40" s="112">
        <v>688.65</v>
      </c>
      <c r="N40" s="112">
        <v>52.716000000000001</v>
      </c>
      <c r="O40" s="122">
        <v>4075.701</v>
      </c>
      <c r="P40" s="112">
        <v>278.185</v>
      </c>
      <c r="Q40" s="112">
        <v>1452.893</v>
      </c>
      <c r="R40" s="112">
        <v>3032.2489999999998</v>
      </c>
      <c r="S40" s="112">
        <v>2887.1409999999996</v>
      </c>
      <c r="T40" s="112">
        <v>1495.8430000000001</v>
      </c>
      <c r="U40" s="112">
        <v>57.149000000000001</v>
      </c>
      <c r="V40" s="112">
        <v>9203.4599999999991</v>
      </c>
    </row>
    <row r="41" spans="1:22" x14ac:dyDescent="0.2">
      <c r="A41" s="123">
        <v>2003</v>
      </c>
      <c r="B41" s="112">
        <v>158.477</v>
      </c>
      <c r="C41" s="112">
        <v>798.56299999999987</v>
      </c>
      <c r="D41" s="112">
        <v>1769.81</v>
      </c>
      <c r="E41" s="112">
        <v>1358.3400000000001</v>
      </c>
      <c r="F41" s="112">
        <v>796.37100000000009</v>
      </c>
      <c r="G41" s="112">
        <v>4.1530000000000005</v>
      </c>
      <c r="H41" s="122">
        <v>4885.7139999999999</v>
      </c>
      <c r="I41" s="112">
        <v>127.88200000000001</v>
      </c>
      <c r="J41" s="112">
        <v>667.83999999999992</v>
      </c>
      <c r="K41" s="112">
        <v>1353.9489999999998</v>
      </c>
      <c r="L41" s="112">
        <v>1357.07</v>
      </c>
      <c r="M41" s="112">
        <v>656.85599999999999</v>
      </c>
      <c r="N41" s="112">
        <v>25.361999999999998</v>
      </c>
      <c r="O41" s="122">
        <v>4214.3339999999998</v>
      </c>
      <c r="P41" s="112">
        <v>286.35899999999998</v>
      </c>
      <c r="Q41" s="112">
        <v>1466.403</v>
      </c>
      <c r="R41" s="112">
        <v>3123.7590000000005</v>
      </c>
      <c r="S41" s="112">
        <v>2715.41</v>
      </c>
      <c r="T41" s="112">
        <v>1453.2269999999999</v>
      </c>
      <c r="U41" s="112">
        <v>29.515000000000001</v>
      </c>
      <c r="V41" s="112">
        <v>9100.0479999999989</v>
      </c>
    </row>
    <row r="42" spans="1:22" x14ac:dyDescent="0.2">
      <c r="A42" s="123">
        <v>2004</v>
      </c>
      <c r="B42" s="112">
        <v>166.69299999999998</v>
      </c>
      <c r="C42" s="112">
        <v>799.65599999999995</v>
      </c>
      <c r="D42" s="112">
        <v>2032.0520000000004</v>
      </c>
      <c r="E42" s="112">
        <v>1399.2870000000003</v>
      </c>
      <c r="F42" s="112">
        <v>851.10400000000004</v>
      </c>
      <c r="G42" s="112">
        <v>3.0100000000000002</v>
      </c>
      <c r="H42" s="122">
        <v>5251.8019999999997</v>
      </c>
      <c r="I42" s="112">
        <v>106.26</v>
      </c>
      <c r="J42" s="112">
        <v>661.18200000000002</v>
      </c>
      <c r="K42" s="112">
        <v>1243.9650000000001</v>
      </c>
      <c r="L42" s="112">
        <v>1353.973</v>
      </c>
      <c r="M42" s="112">
        <v>667.67399999999998</v>
      </c>
      <c r="N42" s="112">
        <v>37.991999999999997</v>
      </c>
      <c r="O42" s="122">
        <v>4071.0479999999998</v>
      </c>
      <c r="P42" s="112">
        <v>272.95300000000003</v>
      </c>
      <c r="Q42" s="112">
        <v>1460.8380000000002</v>
      </c>
      <c r="R42" s="112">
        <v>3276.0170000000007</v>
      </c>
      <c r="S42" s="112">
        <v>2753.26</v>
      </c>
      <c r="T42" s="112">
        <v>1518.7780000000002</v>
      </c>
      <c r="U42" s="112">
        <v>41.001999999999995</v>
      </c>
      <c r="V42" s="112">
        <v>9322.85</v>
      </c>
    </row>
    <row r="43" spans="1:22" x14ac:dyDescent="0.2">
      <c r="A43" s="123">
        <v>2005</v>
      </c>
      <c r="B43" s="112">
        <v>179.40899999999999</v>
      </c>
      <c r="C43" s="112">
        <v>786.18200000000002</v>
      </c>
      <c r="D43" s="112">
        <v>2026.0439999999999</v>
      </c>
      <c r="E43" s="112">
        <v>1411.6740000000002</v>
      </c>
      <c r="F43" s="112">
        <v>879.82300000000009</v>
      </c>
      <c r="G43" s="112">
        <v>2.8660000000000001</v>
      </c>
      <c r="H43" s="122">
        <v>5285.9979999999996</v>
      </c>
      <c r="I43" s="112">
        <v>105.15300000000001</v>
      </c>
      <c r="J43" s="112">
        <v>643.07600000000002</v>
      </c>
      <c r="K43" s="112">
        <v>1160.338</v>
      </c>
      <c r="L43" s="112">
        <v>1351.2380000000001</v>
      </c>
      <c r="M43" s="112">
        <v>729.053</v>
      </c>
      <c r="N43" s="112">
        <v>37.141000000000005</v>
      </c>
      <c r="O43" s="122">
        <v>4025.9989999999998</v>
      </c>
      <c r="P43" s="112">
        <v>284.56200000000001</v>
      </c>
      <c r="Q43" s="112">
        <v>1429.258</v>
      </c>
      <c r="R43" s="112">
        <v>3186.3820000000001</v>
      </c>
      <c r="S43" s="112">
        <v>2762.9120000000003</v>
      </c>
      <c r="T43" s="112">
        <v>1608.876</v>
      </c>
      <c r="U43" s="112">
        <v>40.007000000000005</v>
      </c>
      <c r="V43" s="112">
        <v>9311.9969999999994</v>
      </c>
    </row>
    <row r="44" spans="1:22" x14ac:dyDescent="0.2">
      <c r="A44" s="123">
        <v>2006</v>
      </c>
      <c r="B44" s="112">
        <v>180.44199999999998</v>
      </c>
      <c r="C44" s="112">
        <v>751.68399999999997</v>
      </c>
      <c r="D44" s="112">
        <v>1926.191</v>
      </c>
      <c r="E44" s="112">
        <v>1390.607</v>
      </c>
      <c r="F44" s="112">
        <v>804.99500000000012</v>
      </c>
      <c r="G44" s="112">
        <v>1.601</v>
      </c>
      <c r="H44" s="122">
        <v>5055.5130000000008</v>
      </c>
      <c r="I44" s="112">
        <v>103.24299999999999</v>
      </c>
      <c r="J44" s="112">
        <v>658.83500000000004</v>
      </c>
      <c r="K44" s="112">
        <v>1129.2239999999999</v>
      </c>
      <c r="L44" s="112">
        <v>1313.3030000000001</v>
      </c>
      <c r="M44" s="112">
        <v>629.08899999999994</v>
      </c>
      <c r="N44" s="112">
        <v>22.777000000000001</v>
      </c>
      <c r="O44" s="122">
        <v>3856.471</v>
      </c>
      <c r="P44" s="112">
        <v>283.685</v>
      </c>
      <c r="Q44" s="112">
        <v>1410.5189999999998</v>
      </c>
      <c r="R44" s="112">
        <v>3055.415</v>
      </c>
      <c r="S44" s="112">
        <v>2703.91</v>
      </c>
      <c r="T44" s="112">
        <v>1434.0840000000001</v>
      </c>
      <c r="U44" s="112">
        <v>24.378</v>
      </c>
      <c r="V44" s="112">
        <v>8911.9840000000004</v>
      </c>
    </row>
    <row r="45" spans="1:22" x14ac:dyDescent="0.2">
      <c r="A45" s="123">
        <v>2007</v>
      </c>
      <c r="B45" s="112">
        <v>182.85399999999998</v>
      </c>
      <c r="C45" s="112">
        <v>800.06099999999992</v>
      </c>
      <c r="D45" s="112">
        <v>2034.2449999999999</v>
      </c>
      <c r="E45" s="112">
        <v>1579.29</v>
      </c>
      <c r="F45" s="112">
        <v>863.18200000000013</v>
      </c>
      <c r="G45" s="112">
        <v>0.621</v>
      </c>
      <c r="H45" s="122">
        <v>5460.2520000000004</v>
      </c>
      <c r="I45" s="112">
        <v>104.63800000000001</v>
      </c>
      <c r="J45" s="112">
        <v>703.59</v>
      </c>
      <c r="K45" s="112">
        <v>1125.296</v>
      </c>
      <c r="L45" s="112">
        <v>1274.1510000000001</v>
      </c>
      <c r="M45" s="112">
        <v>650.91200000000003</v>
      </c>
      <c r="N45" s="112">
        <v>29.613000000000003</v>
      </c>
      <c r="O45" s="122">
        <v>3888.1880000000001</v>
      </c>
      <c r="P45" s="112">
        <v>287.49199999999996</v>
      </c>
      <c r="Q45" s="112">
        <v>1503.6510000000001</v>
      </c>
      <c r="R45" s="112">
        <v>3159.5410000000002</v>
      </c>
      <c r="S45" s="112">
        <v>2853.4410000000003</v>
      </c>
      <c r="T45" s="112">
        <v>1514.0940000000001</v>
      </c>
      <c r="U45" s="112">
        <v>30.234000000000002</v>
      </c>
      <c r="V45" s="112">
        <v>9348.44</v>
      </c>
    </row>
    <row r="46" spans="1:22" x14ac:dyDescent="0.2">
      <c r="A46" s="123">
        <v>2008</v>
      </c>
      <c r="B46" s="112">
        <v>196.16300000000001</v>
      </c>
      <c r="C46" s="112">
        <v>885.1579999999999</v>
      </c>
      <c r="D46" s="112">
        <v>2167.9840000000004</v>
      </c>
      <c r="E46" s="112">
        <v>1470.2559999999999</v>
      </c>
      <c r="F46" s="112">
        <v>852.41399999999999</v>
      </c>
      <c r="G46" s="112">
        <v>5.3000000000000005E-2</v>
      </c>
      <c r="H46" s="122">
        <v>5572.0249999999996</v>
      </c>
      <c r="I46" s="112">
        <v>132.816</v>
      </c>
      <c r="J46" s="112">
        <v>758.49</v>
      </c>
      <c r="K46" s="112">
        <v>1089.2840000000001</v>
      </c>
      <c r="L46" s="112">
        <v>1169.1080000000002</v>
      </c>
      <c r="M46" s="112">
        <v>654.404</v>
      </c>
      <c r="N46" s="112">
        <v>30.878999999999998</v>
      </c>
      <c r="O46" s="122">
        <v>3834.9770000000003</v>
      </c>
      <c r="P46" s="112">
        <v>328.97900000000004</v>
      </c>
      <c r="Q46" s="112">
        <v>1643.6479999999999</v>
      </c>
      <c r="R46" s="112">
        <v>3257.268</v>
      </c>
      <c r="S46" s="112">
        <v>2639.3640000000005</v>
      </c>
      <c r="T46" s="112">
        <v>1506.818</v>
      </c>
      <c r="U46" s="112">
        <v>30.931999999999999</v>
      </c>
      <c r="V46" s="112">
        <v>9407.0020000000004</v>
      </c>
    </row>
    <row r="47" spans="1:22" x14ac:dyDescent="0.2">
      <c r="A47" s="123">
        <v>2009</v>
      </c>
      <c r="B47" s="112">
        <v>173.31899999999999</v>
      </c>
      <c r="C47" s="112">
        <v>845.59699999999998</v>
      </c>
      <c r="D47" s="112">
        <v>2188.268</v>
      </c>
      <c r="E47" s="112">
        <v>1400.0830000000001</v>
      </c>
      <c r="F47" s="112">
        <v>783.91200000000003</v>
      </c>
      <c r="G47" s="112">
        <v>1.57</v>
      </c>
      <c r="H47" s="122">
        <v>5392.7449999999999</v>
      </c>
      <c r="I47" s="112">
        <v>130.065</v>
      </c>
      <c r="J47" s="112">
        <v>779.33300000000008</v>
      </c>
      <c r="K47" s="112">
        <v>1147.06</v>
      </c>
      <c r="L47" s="112">
        <v>1179.972</v>
      </c>
      <c r="M47" s="112">
        <v>641.51800000000003</v>
      </c>
      <c r="N47" s="112">
        <v>29.119</v>
      </c>
      <c r="O47" s="122">
        <v>3907.0720000000001</v>
      </c>
      <c r="P47" s="112">
        <v>303.38400000000001</v>
      </c>
      <c r="Q47" s="112">
        <v>1624.9300000000003</v>
      </c>
      <c r="R47" s="112">
        <v>3335.328</v>
      </c>
      <c r="S47" s="112">
        <v>2580.0550000000003</v>
      </c>
      <c r="T47" s="112">
        <v>1425.4300000000003</v>
      </c>
      <c r="U47" s="112">
        <v>30.689</v>
      </c>
      <c r="V47" s="112">
        <v>9299.8169999999991</v>
      </c>
    </row>
    <row r="48" spans="1:22" x14ac:dyDescent="0.2">
      <c r="A48" s="123">
        <v>2010</v>
      </c>
      <c r="B48" s="112">
        <v>170.23000000000002</v>
      </c>
      <c r="C48" s="112">
        <v>875.01200000000006</v>
      </c>
      <c r="D48" s="112">
        <v>2241.2780000000002</v>
      </c>
      <c r="E48" s="112">
        <v>1521.7049999999999</v>
      </c>
      <c r="F48" s="112">
        <v>793.24800000000005</v>
      </c>
      <c r="G48" s="112">
        <v>0</v>
      </c>
      <c r="H48" s="122">
        <v>5601.4690000000001</v>
      </c>
      <c r="I48" s="112">
        <v>126.79500000000002</v>
      </c>
      <c r="J48" s="112">
        <v>818.25199999999995</v>
      </c>
      <c r="K48" s="112">
        <v>1126.8789999999999</v>
      </c>
      <c r="L48" s="112">
        <v>1295.6390000000001</v>
      </c>
      <c r="M48" s="112">
        <v>680.73099999999999</v>
      </c>
      <c r="N48" s="112">
        <v>29.119</v>
      </c>
      <c r="O48" s="122">
        <v>4077.4090000000006</v>
      </c>
      <c r="P48" s="112">
        <v>297.02500000000003</v>
      </c>
      <c r="Q48" s="112">
        <v>1693.2639999999997</v>
      </c>
      <c r="R48" s="112">
        <v>3368.1569999999997</v>
      </c>
      <c r="S48" s="112">
        <v>2817.3440000000001</v>
      </c>
      <c r="T48" s="112">
        <v>1473.9790000000003</v>
      </c>
      <c r="U48" s="112">
        <v>29.119</v>
      </c>
      <c r="V48" s="112">
        <v>9678.8780000000006</v>
      </c>
    </row>
    <row r="49" spans="1:22" x14ac:dyDescent="0.2">
      <c r="A49" s="123">
        <v>2011</v>
      </c>
      <c r="B49" s="112">
        <v>183.22500000000002</v>
      </c>
      <c r="C49" s="112">
        <v>852.31399999999996</v>
      </c>
      <c r="D49" s="112">
        <v>2239.3240000000005</v>
      </c>
      <c r="E49" s="112">
        <v>1419.0660000000003</v>
      </c>
      <c r="F49" s="112">
        <v>867.65900000000011</v>
      </c>
      <c r="G49" s="112">
        <v>0</v>
      </c>
      <c r="H49" s="122">
        <v>5561.5910000000003</v>
      </c>
      <c r="I49" s="112">
        <v>119.977</v>
      </c>
      <c r="J49" s="112">
        <v>778.59199999999998</v>
      </c>
      <c r="K49" s="112">
        <v>1096.2629999999999</v>
      </c>
      <c r="L49" s="112">
        <v>1413.8209999999999</v>
      </c>
      <c r="M49" s="112">
        <v>665.55899999999997</v>
      </c>
      <c r="N49" s="112">
        <v>29.553000000000001</v>
      </c>
      <c r="O49" s="122">
        <v>4103.7619999999997</v>
      </c>
      <c r="P49" s="112">
        <v>303.20200000000006</v>
      </c>
      <c r="Q49" s="112">
        <v>1630.9060000000002</v>
      </c>
      <c r="R49" s="112">
        <v>3335.5870000000004</v>
      </c>
      <c r="S49" s="112">
        <v>2832.8870000000006</v>
      </c>
      <c r="T49" s="112">
        <v>1533.2179999999998</v>
      </c>
      <c r="U49" s="112">
        <v>29.553000000000001</v>
      </c>
      <c r="V49" s="112">
        <v>9665.353000000001</v>
      </c>
    </row>
    <row r="50" spans="1:22" ht="12.75" customHeight="1" x14ac:dyDescent="0.2">
      <c r="A50" s="123">
        <v>2012</v>
      </c>
      <c r="B50" s="112">
        <v>184.82</v>
      </c>
      <c r="C50" s="112">
        <v>849.00100000000009</v>
      </c>
      <c r="D50" s="112">
        <v>2314.8139999999999</v>
      </c>
      <c r="E50" s="112">
        <v>1554.0250000000001</v>
      </c>
      <c r="F50" s="112">
        <v>852.71</v>
      </c>
      <c r="G50" s="112">
        <v>0</v>
      </c>
      <c r="H50" s="122">
        <v>5755.3710000000001</v>
      </c>
      <c r="I50" s="112">
        <v>126.25600000000001</v>
      </c>
      <c r="J50" s="112">
        <v>780.49599999999998</v>
      </c>
      <c r="K50" s="112">
        <v>1102.9939999999999</v>
      </c>
      <c r="L50" s="112">
        <v>1266.5430000000001</v>
      </c>
      <c r="M50" s="112">
        <v>654.327</v>
      </c>
      <c r="N50" s="112">
        <v>28.635000000000002</v>
      </c>
      <c r="O50" s="122">
        <v>3959.25</v>
      </c>
      <c r="P50" s="112">
        <v>311.07600000000002</v>
      </c>
      <c r="Q50" s="112">
        <v>1629.4969999999998</v>
      </c>
      <c r="R50" s="112">
        <v>3417.808</v>
      </c>
      <c r="S50" s="112">
        <v>2820.5680000000002</v>
      </c>
      <c r="T50" s="112">
        <v>1507.0370000000003</v>
      </c>
      <c r="U50" s="112">
        <v>28.635000000000002</v>
      </c>
      <c r="V50" s="112">
        <v>9714.621000000001</v>
      </c>
    </row>
    <row r="51" spans="1:22" x14ac:dyDescent="0.2">
      <c r="A51" s="123">
        <v>2013</v>
      </c>
      <c r="B51" s="112">
        <v>177.51</v>
      </c>
      <c r="C51" s="112">
        <v>859.35200000000009</v>
      </c>
      <c r="D51" s="112">
        <v>2324.7290000000003</v>
      </c>
      <c r="E51" s="112">
        <v>1714.7349999999999</v>
      </c>
      <c r="F51" s="112">
        <v>870.17499999999995</v>
      </c>
      <c r="G51" s="112">
        <v>0</v>
      </c>
      <c r="H51" s="122">
        <v>5946.509</v>
      </c>
      <c r="I51" s="112">
        <v>143.80900000000003</v>
      </c>
      <c r="J51" s="112">
        <v>810.40600000000018</v>
      </c>
      <c r="K51" s="112">
        <v>1182.855</v>
      </c>
      <c r="L51" s="112">
        <v>1283.578</v>
      </c>
      <c r="M51" s="112">
        <v>589.24299999999994</v>
      </c>
      <c r="N51" s="112">
        <v>30.818999999999999</v>
      </c>
      <c r="O51" s="122">
        <v>4040.663</v>
      </c>
      <c r="P51" s="112">
        <v>321.31899999999996</v>
      </c>
      <c r="Q51" s="112">
        <v>1669.758</v>
      </c>
      <c r="R51" s="112">
        <v>3507.5839999999998</v>
      </c>
      <c r="S51" s="112">
        <v>2998.3130000000001</v>
      </c>
      <c r="T51" s="112">
        <v>1459.4180000000001</v>
      </c>
      <c r="U51" s="112">
        <v>30.818999999999999</v>
      </c>
      <c r="V51" s="112">
        <v>9987.1720000000005</v>
      </c>
    </row>
    <row r="52" spans="1:22" x14ac:dyDescent="0.2">
      <c r="A52" s="123">
        <v>2014</v>
      </c>
      <c r="B52" s="112">
        <f>B302+B306+B310+B314</f>
        <v>219.15</v>
      </c>
      <c r="C52" s="112">
        <f t="shared" ref="C52:G52" si="0">C302+C306+C310+C314</f>
        <v>959.12900000000002</v>
      </c>
      <c r="D52" s="112">
        <f t="shared" si="0"/>
        <v>2425.3980000000001</v>
      </c>
      <c r="E52" s="112">
        <f t="shared" si="0"/>
        <v>1837.4929999999999</v>
      </c>
      <c r="F52" s="112">
        <f t="shared" si="0"/>
        <v>891.49099999999999</v>
      </c>
      <c r="G52" s="112">
        <f t="shared" si="0"/>
        <v>2.9180000000000001</v>
      </c>
      <c r="H52" s="122">
        <f>SUM(B52:G52)</f>
        <v>6335.5789999999997</v>
      </c>
      <c r="I52" s="112">
        <f>I302+I306+I310+I314</f>
        <v>166.23099999999999</v>
      </c>
      <c r="J52" s="112">
        <f t="shared" ref="J52:N52" si="1">J302+J306+J310+J314</f>
        <v>692.09900000000005</v>
      </c>
      <c r="K52" s="112">
        <f t="shared" si="1"/>
        <v>1249.3980000000001</v>
      </c>
      <c r="L52" s="112">
        <f t="shared" si="1"/>
        <v>1219.7560000000001</v>
      </c>
      <c r="M52" s="112">
        <f t="shared" si="1"/>
        <v>602.06700000000001</v>
      </c>
      <c r="N52" s="112">
        <f t="shared" si="1"/>
        <v>35.259</v>
      </c>
      <c r="O52" s="122">
        <f>SUM(I52:N52)</f>
        <v>3964.8100000000004</v>
      </c>
      <c r="P52" s="112">
        <f>B52+I52</f>
        <v>385.38099999999997</v>
      </c>
      <c r="Q52" s="112">
        <f t="shared" ref="Q52:Q61" si="2">C52+J52</f>
        <v>1651.2280000000001</v>
      </c>
      <c r="R52" s="112">
        <f t="shared" ref="R52:R61" si="3">D52+K52</f>
        <v>3674.7960000000003</v>
      </c>
      <c r="S52" s="112">
        <f t="shared" ref="S52:S61" si="4">E52+L52</f>
        <v>3057.2489999999998</v>
      </c>
      <c r="T52" s="112">
        <f t="shared" ref="T52:T61" si="5">F52+M52</f>
        <v>1493.558</v>
      </c>
      <c r="U52" s="112">
        <f t="shared" ref="U52:U61" si="6">G52+N52</f>
        <v>38.177</v>
      </c>
      <c r="V52" s="112">
        <f>SUM(P52:U52)</f>
        <v>10300.388999999999</v>
      </c>
    </row>
    <row r="53" spans="1:22" x14ac:dyDescent="0.2">
      <c r="A53" s="123">
        <v>2015</v>
      </c>
      <c r="B53" s="112">
        <f>B320+B324+B328+B332</f>
        <v>205.85099999999997</v>
      </c>
      <c r="C53" s="112">
        <f t="shared" ref="C53:G53" si="7">C320+C324+C328+C332</f>
        <v>979.73899999999992</v>
      </c>
      <c r="D53" s="112">
        <f t="shared" si="7"/>
        <v>2423.7550000000001</v>
      </c>
      <c r="E53" s="112">
        <f t="shared" si="7"/>
        <v>1940.491</v>
      </c>
      <c r="F53" s="112">
        <f t="shared" si="7"/>
        <v>854.34500000000003</v>
      </c>
      <c r="G53" s="112">
        <f t="shared" si="7"/>
        <v>13.15</v>
      </c>
      <c r="H53" s="122">
        <f t="shared" ref="H53:H61" si="8">SUM(B53:G53)</f>
        <v>6417.3310000000001</v>
      </c>
      <c r="I53" s="112">
        <f>I320+I324+I328+I332</f>
        <v>172.495</v>
      </c>
      <c r="J53" s="112">
        <f t="shared" ref="J53:N53" si="9">J320+J324+J328+J332</f>
        <v>632.78499999999997</v>
      </c>
      <c r="K53" s="112">
        <f t="shared" si="9"/>
        <v>1221.1840000000002</v>
      </c>
      <c r="L53" s="112">
        <f t="shared" si="9"/>
        <v>1167.442</v>
      </c>
      <c r="M53" s="112">
        <f t="shared" si="9"/>
        <v>594.61699999999996</v>
      </c>
      <c r="N53" s="112">
        <f t="shared" si="9"/>
        <v>31.027999999999999</v>
      </c>
      <c r="O53" s="122">
        <f t="shared" ref="O53:O61" si="10">SUM(I53:N53)</f>
        <v>3819.5509999999999</v>
      </c>
      <c r="P53" s="112">
        <f t="shared" ref="P53:P61" si="11">B53+I53</f>
        <v>378.346</v>
      </c>
      <c r="Q53" s="112">
        <f t="shared" si="2"/>
        <v>1612.5239999999999</v>
      </c>
      <c r="R53" s="112">
        <f t="shared" si="3"/>
        <v>3644.9390000000003</v>
      </c>
      <c r="S53" s="112">
        <f t="shared" si="4"/>
        <v>3107.933</v>
      </c>
      <c r="T53" s="112">
        <f t="shared" si="5"/>
        <v>1448.962</v>
      </c>
      <c r="U53" s="112">
        <f t="shared" si="6"/>
        <v>44.177999999999997</v>
      </c>
      <c r="V53" s="112">
        <f t="shared" ref="V53:V61" si="12">SUM(P53:U53)</f>
        <v>10236.882</v>
      </c>
    </row>
    <row r="54" spans="1:22" x14ac:dyDescent="0.2">
      <c r="A54" s="123">
        <v>2016</v>
      </c>
      <c r="B54" s="112">
        <f>B338+B342+B346+B350</f>
        <v>225.35399999999998</v>
      </c>
      <c r="C54" s="112">
        <f t="shared" ref="C54:G54" si="13">C338+C342+C346+C350</f>
        <v>1011.848</v>
      </c>
      <c r="D54" s="112">
        <f t="shared" si="13"/>
        <v>2425.25</v>
      </c>
      <c r="E54" s="112">
        <f t="shared" si="13"/>
        <v>2113.86</v>
      </c>
      <c r="F54" s="112">
        <f t="shared" si="13"/>
        <v>835.80700000000002</v>
      </c>
      <c r="G54" s="112">
        <f t="shared" si="13"/>
        <v>12.81</v>
      </c>
      <c r="H54" s="122">
        <f t="shared" si="8"/>
        <v>6624.9290000000001</v>
      </c>
      <c r="I54" s="112">
        <f>I338+I342+I346+I350</f>
        <v>185.58499999999998</v>
      </c>
      <c r="J54" s="112">
        <f t="shared" ref="J54:N54" si="14">J338+J342+J346+J350</f>
        <v>686.41499999999996</v>
      </c>
      <c r="K54" s="112">
        <f t="shared" si="14"/>
        <v>1358.585</v>
      </c>
      <c r="L54" s="112">
        <f t="shared" si="14"/>
        <v>1210.847</v>
      </c>
      <c r="M54" s="112">
        <f t="shared" si="14"/>
        <v>619.58299999999997</v>
      </c>
      <c r="N54" s="112">
        <f t="shared" si="14"/>
        <v>31.889999999999997</v>
      </c>
      <c r="O54" s="122">
        <f t="shared" si="10"/>
        <v>4092.9049999999997</v>
      </c>
      <c r="P54" s="112">
        <f t="shared" si="11"/>
        <v>410.93899999999996</v>
      </c>
      <c r="Q54" s="112">
        <f t="shared" si="2"/>
        <v>1698.2629999999999</v>
      </c>
      <c r="R54" s="112">
        <f t="shared" si="3"/>
        <v>3783.835</v>
      </c>
      <c r="S54" s="112">
        <f t="shared" si="4"/>
        <v>3324.7070000000003</v>
      </c>
      <c r="T54" s="112">
        <f t="shared" si="5"/>
        <v>1455.3899999999999</v>
      </c>
      <c r="U54" s="112">
        <f t="shared" si="6"/>
        <v>44.699999999999996</v>
      </c>
      <c r="V54" s="112">
        <f t="shared" si="12"/>
        <v>10717.834000000001</v>
      </c>
    </row>
    <row r="55" spans="1:22" x14ac:dyDescent="0.2">
      <c r="A55" s="123">
        <v>2017</v>
      </c>
      <c r="B55" s="112">
        <f>B356+B360+B364+B368</f>
        <v>224.26499999999999</v>
      </c>
      <c r="C55" s="112">
        <f t="shared" ref="C55:G55" si="15">C356+C360+C364+C368</f>
        <v>1011.3339999999999</v>
      </c>
      <c r="D55" s="112">
        <f t="shared" si="15"/>
        <v>2494.42</v>
      </c>
      <c r="E55" s="112">
        <f t="shared" si="15"/>
        <v>2106.3920000000003</v>
      </c>
      <c r="F55" s="112">
        <f t="shared" si="15"/>
        <v>880.72499999999991</v>
      </c>
      <c r="G55" s="112">
        <f t="shared" si="15"/>
        <v>0</v>
      </c>
      <c r="H55" s="122">
        <f t="shared" si="8"/>
        <v>6717.1360000000004</v>
      </c>
      <c r="I55" s="112">
        <f>I356+I360+I364+I368</f>
        <v>174.54000000000002</v>
      </c>
      <c r="J55" s="112">
        <f t="shared" ref="J55:N55" si="16">J356+J360+J364+J368</f>
        <v>646.178</v>
      </c>
      <c r="K55" s="112">
        <f t="shared" si="16"/>
        <v>1298.1510000000001</v>
      </c>
      <c r="L55" s="112">
        <f t="shared" si="16"/>
        <v>1302.9639999999999</v>
      </c>
      <c r="M55" s="112">
        <f t="shared" si="16"/>
        <v>581.64100000000008</v>
      </c>
      <c r="N55" s="112">
        <f t="shared" si="16"/>
        <v>29.802</v>
      </c>
      <c r="O55" s="122">
        <f t="shared" si="10"/>
        <v>4033.2760000000003</v>
      </c>
      <c r="P55" s="112">
        <f t="shared" si="11"/>
        <v>398.80500000000001</v>
      </c>
      <c r="Q55" s="112">
        <f t="shared" si="2"/>
        <v>1657.5119999999999</v>
      </c>
      <c r="R55" s="112">
        <f t="shared" si="3"/>
        <v>3792.5709999999999</v>
      </c>
      <c r="S55" s="112">
        <f t="shared" si="4"/>
        <v>3409.3560000000002</v>
      </c>
      <c r="T55" s="112">
        <f t="shared" si="5"/>
        <v>1462.366</v>
      </c>
      <c r="U55" s="112">
        <f t="shared" si="6"/>
        <v>29.802</v>
      </c>
      <c r="V55" s="112">
        <f t="shared" si="12"/>
        <v>10750.412</v>
      </c>
    </row>
    <row r="56" spans="1:22" x14ac:dyDescent="0.2">
      <c r="A56" s="123">
        <v>2018</v>
      </c>
      <c r="B56" s="112">
        <f>B374+B378+B382+B386</f>
        <v>213.43499999999997</v>
      </c>
      <c r="C56" s="112">
        <f t="shared" ref="C56:G56" si="17">C374+C378+C382+C386</f>
        <v>1044.0039999999999</v>
      </c>
      <c r="D56" s="112">
        <f t="shared" si="17"/>
        <v>2615.576</v>
      </c>
      <c r="E56" s="112">
        <f t="shared" si="17"/>
        <v>2086.9130000000005</v>
      </c>
      <c r="F56" s="112">
        <f t="shared" si="17"/>
        <v>926.649</v>
      </c>
      <c r="G56" s="112">
        <f t="shared" si="17"/>
        <v>0.68100000000000005</v>
      </c>
      <c r="H56" s="122">
        <f t="shared" si="8"/>
        <v>6887.2579999999998</v>
      </c>
      <c r="I56" s="112">
        <f>I374+I378+I382+I386</f>
        <v>182.42</v>
      </c>
      <c r="J56" s="112">
        <f t="shared" ref="J56:N56" si="18">J374+J378+J382+J386</f>
        <v>601.31900000000007</v>
      </c>
      <c r="K56" s="112">
        <f t="shared" si="18"/>
        <v>1139.394</v>
      </c>
      <c r="L56" s="112">
        <f t="shared" si="18"/>
        <v>1295.338</v>
      </c>
      <c r="M56" s="112">
        <f t="shared" si="18"/>
        <v>575.50099999999998</v>
      </c>
      <c r="N56" s="112">
        <f t="shared" si="18"/>
        <v>32.200999999999993</v>
      </c>
      <c r="O56" s="122">
        <f t="shared" si="10"/>
        <v>3826.1729999999998</v>
      </c>
      <c r="P56" s="112">
        <f t="shared" si="11"/>
        <v>395.85499999999996</v>
      </c>
      <c r="Q56" s="112">
        <f t="shared" si="2"/>
        <v>1645.3229999999999</v>
      </c>
      <c r="R56" s="112">
        <f t="shared" si="3"/>
        <v>3754.9700000000003</v>
      </c>
      <c r="S56" s="112">
        <f t="shared" si="4"/>
        <v>3382.2510000000002</v>
      </c>
      <c r="T56" s="112">
        <f t="shared" si="5"/>
        <v>1502.15</v>
      </c>
      <c r="U56" s="112">
        <f t="shared" si="6"/>
        <v>32.881999999999991</v>
      </c>
      <c r="V56" s="112">
        <f t="shared" si="12"/>
        <v>10713.431</v>
      </c>
    </row>
    <row r="57" spans="1:22" x14ac:dyDescent="0.2">
      <c r="A57" s="123">
        <v>2019</v>
      </c>
      <c r="B57" s="112">
        <f>B392+B396+B400+B404</f>
        <v>201.14600000000002</v>
      </c>
      <c r="C57" s="112">
        <f t="shared" ref="C57:G57" si="19">C392+C396+C400+C404</f>
        <v>1029.0650000000001</v>
      </c>
      <c r="D57" s="112">
        <f t="shared" si="19"/>
        <v>2618.4349999999999</v>
      </c>
      <c r="E57" s="112">
        <f t="shared" si="19"/>
        <v>2128.6210000000001</v>
      </c>
      <c r="F57" s="112">
        <f t="shared" si="19"/>
        <v>917.94600000000003</v>
      </c>
      <c r="G57" s="112">
        <f t="shared" si="19"/>
        <v>0.30099999999999999</v>
      </c>
      <c r="H57" s="122">
        <f t="shared" si="8"/>
        <v>6895.5140000000001</v>
      </c>
      <c r="I57" s="112">
        <f>I392+I396+I400+I404</f>
        <v>184.81199999999998</v>
      </c>
      <c r="J57" s="112">
        <f t="shared" ref="J57:N57" si="20">J392+J396+J400+J404</f>
        <v>604.17699999999991</v>
      </c>
      <c r="K57" s="112">
        <f t="shared" si="20"/>
        <v>1198.26</v>
      </c>
      <c r="L57" s="112">
        <f t="shared" si="20"/>
        <v>1281.135</v>
      </c>
      <c r="M57" s="112">
        <f t="shared" si="20"/>
        <v>575.44000000000005</v>
      </c>
      <c r="N57" s="112">
        <f t="shared" si="20"/>
        <v>32.116</v>
      </c>
      <c r="O57" s="122">
        <f t="shared" si="10"/>
        <v>3875.94</v>
      </c>
      <c r="P57" s="112">
        <f t="shared" si="11"/>
        <v>385.95799999999997</v>
      </c>
      <c r="Q57" s="112">
        <f t="shared" si="2"/>
        <v>1633.242</v>
      </c>
      <c r="R57" s="112">
        <f t="shared" si="3"/>
        <v>3816.6949999999997</v>
      </c>
      <c r="S57" s="112">
        <f t="shared" si="4"/>
        <v>3409.7560000000003</v>
      </c>
      <c r="T57" s="112">
        <f t="shared" si="5"/>
        <v>1493.386</v>
      </c>
      <c r="U57" s="112">
        <f t="shared" si="6"/>
        <v>32.417000000000002</v>
      </c>
      <c r="V57" s="112">
        <f t="shared" si="12"/>
        <v>10771.454</v>
      </c>
    </row>
    <row r="58" spans="1:22" x14ac:dyDescent="0.2">
      <c r="A58" s="123">
        <v>2020</v>
      </c>
      <c r="B58" s="112">
        <f>B410+B414+B418+B422</f>
        <v>201.27599999999998</v>
      </c>
      <c r="C58" s="112">
        <f t="shared" ref="C58:G58" si="21">C410+C414+C418+C422</f>
        <v>887.99099999999999</v>
      </c>
      <c r="D58" s="112">
        <f t="shared" si="21"/>
        <v>2412.5590000000002</v>
      </c>
      <c r="E58" s="112">
        <f t="shared" si="21"/>
        <v>2007.712</v>
      </c>
      <c r="F58" s="112">
        <f t="shared" si="21"/>
        <v>879.14299999999992</v>
      </c>
      <c r="G58" s="112">
        <f t="shared" si="21"/>
        <v>0.26600000000000001</v>
      </c>
      <c r="H58" s="122">
        <f t="shared" si="8"/>
        <v>6388.9470000000001</v>
      </c>
      <c r="I58" s="112">
        <f>I410+I414+I418+I422</f>
        <v>183.07</v>
      </c>
      <c r="J58" s="112">
        <f t="shared" ref="J58:N58" si="22">J410+J414+J418+J422</f>
        <v>561.76699999999994</v>
      </c>
      <c r="K58" s="112">
        <f t="shared" si="22"/>
        <v>1236.9490000000001</v>
      </c>
      <c r="L58" s="112">
        <f t="shared" si="22"/>
        <v>1281.204</v>
      </c>
      <c r="M58" s="112">
        <f t="shared" si="22"/>
        <v>655.79700000000003</v>
      </c>
      <c r="N58" s="112">
        <f t="shared" si="22"/>
        <v>32.381999999999998</v>
      </c>
      <c r="O58" s="122">
        <f t="shared" si="10"/>
        <v>3951.1689999999999</v>
      </c>
      <c r="P58" s="112">
        <f t="shared" si="11"/>
        <v>384.346</v>
      </c>
      <c r="Q58" s="112">
        <f t="shared" si="2"/>
        <v>1449.7579999999998</v>
      </c>
      <c r="R58" s="112">
        <f t="shared" si="3"/>
        <v>3649.5080000000003</v>
      </c>
      <c r="S58" s="112">
        <f t="shared" si="4"/>
        <v>3288.9160000000002</v>
      </c>
      <c r="T58" s="112">
        <f t="shared" si="5"/>
        <v>1534.94</v>
      </c>
      <c r="U58" s="112">
        <f t="shared" si="6"/>
        <v>32.647999999999996</v>
      </c>
      <c r="V58" s="112">
        <f t="shared" si="12"/>
        <v>10340.116</v>
      </c>
    </row>
    <row r="59" spans="1:22" x14ac:dyDescent="0.2">
      <c r="A59" s="123">
        <v>2021</v>
      </c>
      <c r="B59" s="112">
        <f>B428+B432+B436+B440</f>
        <v>209.42499999999998</v>
      </c>
      <c r="C59" s="112">
        <f t="shared" ref="C59:G59" si="23">C428+C432+C436+C440</f>
        <v>841.99900000000002</v>
      </c>
      <c r="D59" s="112">
        <f t="shared" si="23"/>
        <v>2500.2429999999999</v>
      </c>
      <c r="E59" s="112">
        <f t="shared" si="23"/>
        <v>2195.39</v>
      </c>
      <c r="F59" s="112">
        <f t="shared" si="23"/>
        <v>936.23</v>
      </c>
      <c r="G59" s="112">
        <f t="shared" si="23"/>
        <v>2.1000000000000001E-2</v>
      </c>
      <c r="H59" s="122">
        <f t="shared" si="8"/>
        <v>6683.308</v>
      </c>
      <c r="I59" s="112">
        <f>I428+I432+I436+I440</f>
        <v>169.53400000000002</v>
      </c>
      <c r="J59" s="112">
        <f t="shared" ref="J59:N59" si="24">J428+J432+J436+J440</f>
        <v>599.39800000000002</v>
      </c>
      <c r="K59" s="112">
        <f t="shared" si="24"/>
        <v>1291.153</v>
      </c>
      <c r="L59" s="112">
        <f t="shared" si="24"/>
        <v>1199.5129999999999</v>
      </c>
      <c r="M59" s="112">
        <f t="shared" si="24"/>
        <v>655.09</v>
      </c>
      <c r="N59" s="112">
        <f t="shared" si="24"/>
        <v>28.761000000000003</v>
      </c>
      <c r="O59" s="122">
        <f t="shared" si="10"/>
        <v>3943.4490000000001</v>
      </c>
      <c r="P59" s="112">
        <f t="shared" si="11"/>
        <v>378.959</v>
      </c>
      <c r="Q59" s="112">
        <f t="shared" si="2"/>
        <v>1441.3969999999999</v>
      </c>
      <c r="R59" s="112">
        <f t="shared" si="3"/>
        <v>3791.3959999999997</v>
      </c>
      <c r="S59" s="112">
        <f t="shared" si="4"/>
        <v>3394.9029999999998</v>
      </c>
      <c r="T59" s="112">
        <f t="shared" si="5"/>
        <v>1591.3200000000002</v>
      </c>
      <c r="U59" s="112">
        <f t="shared" si="6"/>
        <v>28.782000000000004</v>
      </c>
      <c r="V59" s="112">
        <f t="shared" si="12"/>
        <v>10626.756999999998</v>
      </c>
    </row>
    <row r="60" spans="1:22" x14ac:dyDescent="0.2">
      <c r="A60" s="123">
        <v>2022</v>
      </c>
      <c r="B60" s="112">
        <f>B446+B450+B454+B458</f>
        <v>196.98599999999999</v>
      </c>
      <c r="C60" s="112">
        <f t="shared" ref="C60:G60" si="25">C446+C450+C454+C458</f>
        <v>933.33999999999992</v>
      </c>
      <c r="D60" s="112">
        <f t="shared" si="25"/>
        <v>2454.5550000000003</v>
      </c>
      <c r="E60" s="112">
        <f t="shared" si="25"/>
        <v>2341.9960000000001</v>
      </c>
      <c r="F60" s="112">
        <f t="shared" si="25"/>
        <v>988.86400000000003</v>
      </c>
      <c r="G60" s="112">
        <f t="shared" si="25"/>
        <v>1.06</v>
      </c>
      <c r="H60" s="122">
        <f t="shared" si="8"/>
        <v>6916.8010000000004</v>
      </c>
      <c r="I60" s="112">
        <f>I446+I450+I454+I458</f>
        <v>157.91200000000001</v>
      </c>
      <c r="J60" s="112">
        <f t="shared" ref="J60:N60" si="26">J446+J450+J454+J458</f>
        <v>611.79199999999992</v>
      </c>
      <c r="K60" s="112">
        <f t="shared" si="26"/>
        <v>1421.9090000000001</v>
      </c>
      <c r="L60" s="112">
        <f t="shared" si="26"/>
        <v>1211.383</v>
      </c>
      <c r="M60" s="112">
        <f t="shared" si="26"/>
        <v>698.74299999999994</v>
      </c>
      <c r="N60" s="112">
        <f t="shared" si="26"/>
        <v>28.876999999999995</v>
      </c>
      <c r="O60" s="122">
        <f t="shared" si="10"/>
        <v>4130.616</v>
      </c>
      <c r="P60" s="112">
        <f t="shared" si="11"/>
        <v>354.89800000000002</v>
      </c>
      <c r="Q60" s="112">
        <f t="shared" si="2"/>
        <v>1545.1319999999998</v>
      </c>
      <c r="R60" s="112">
        <f t="shared" si="3"/>
        <v>3876.4640000000004</v>
      </c>
      <c r="S60" s="112">
        <f t="shared" si="4"/>
        <v>3553.3789999999999</v>
      </c>
      <c r="T60" s="112">
        <f t="shared" si="5"/>
        <v>1687.607</v>
      </c>
      <c r="U60" s="112">
        <f t="shared" si="6"/>
        <v>29.936999999999994</v>
      </c>
      <c r="V60" s="112">
        <f t="shared" si="12"/>
        <v>11047.416999999999</v>
      </c>
    </row>
    <row r="61" spans="1:22" x14ac:dyDescent="0.2">
      <c r="A61" s="123">
        <v>2023</v>
      </c>
      <c r="B61" s="112">
        <f>B464+B468+B472+B476</f>
        <v>200.08199999999999</v>
      </c>
      <c r="C61" s="112">
        <f t="shared" ref="C61:G61" si="27">C464+C468+C472+C476</f>
        <v>925.31200000000013</v>
      </c>
      <c r="D61" s="112">
        <f t="shared" si="27"/>
        <v>2448.1880000000001</v>
      </c>
      <c r="E61" s="112">
        <f t="shared" si="27"/>
        <v>2312.6959999999999</v>
      </c>
      <c r="F61" s="112">
        <f t="shared" si="27"/>
        <v>968.30700000000002</v>
      </c>
      <c r="G61" s="112">
        <f t="shared" si="27"/>
        <v>0</v>
      </c>
      <c r="H61" s="122">
        <f t="shared" si="8"/>
        <v>6854.585</v>
      </c>
      <c r="I61" s="112">
        <f>I464+I468+I472+I476</f>
        <v>152.477</v>
      </c>
      <c r="J61" s="112">
        <f t="shared" ref="J61:N61" si="28">J464+J468+J472+J476</f>
        <v>609.01700000000005</v>
      </c>
      <c r="K61" s="112">
        <f t="shared" si="28"/>
        <v>1330.463</v>
      </c>
      <c r="L61" s="112">
        <f t="shared" si="28"/>
        <v>1209.0930000000001</v>
      </c>
      <c r="M61" s="112">
        <f t="shared" si="28"/>
        <v>685.51099999999997</v>
      </c>
      <c r="N61" s="112">
        <f t="shared" si="28"/>
        <v>33.314</v>
      </c>
      <c r="O61" s="122">
        <f t="shared" si="10"/>
        <v>4019.875</v>
      </c>
      <c r="P61" s="112">
        <f t="shared" si="11"/>
        <v>352.55899999999997</v>
      </c>
      <c r="Q61" s="112">
        <f t="shared" si="2"/>
        <v>1534.3290000000002</v>
      </c>
      <c r="R61" s="112">
        <f t="shared" si="3"/>
        <v>3778.6509999999998</v>
      </c>
      <c r="S61" s="112">
        <f t="shared" si="4"/>
        <v>3521.7889999999998</v>
      </c>
      <c r="T61" s="112">
        <f t="shared" si="5"/>
        <v>1653.818</v>
      </c>
      <c r="U61" s="112">
        <f t="shared" si="6"/>
        <v>33.314</v>
      </c>
      <c r="V61" s="112">
        <f t="shared" si="12"/>
        <v>10874.46</v>
      </c>
    </row>
    <row r="62" spans="1:22" x14ac:dyDescent="0.2">
      <c r="A62" s="123"/>
      <c r="B62" s="112"/>
      <c r="C62" s="112"/>
      <c r="D62" s="112"/>
      <c r="E62" s="112"/>
      <c r="F62" s="112"/>
      <c r="G62" s="112"/>
      <c r="H62" s="122"/>
      <c r="I62" s="112"/>
      <c r="J62" s="112"/>
      <c r="K62" s="112"/>
      <c r="L62" s="112"/>
      <c r="M62" s="112"/>
      <c r="N62" s="112"/>
      <c r="O62" s="122"/>
      <c r="P62" s="112"/>
      <c r="Q62" s="112"/>
      <c r="R62" s="112"/>
      <c r="S62" s="112"/>
      <c r="T62" s="112"/>
      <c r="U62" s="112"/>
      <c r="V62" s="112"/>
    </row>
    <row r="63" spans="1:22" x14ac:dyDescent="0.2">
      <c r="A63" s="120" t="s">
        <v>385</v>
      </c>
      <c r="B63" s="112"/>
      <c r="C63" s="112"/>
      <c r="D63" s="112"/>
      <c r="E63" s="112"/>
      <c r="F63" s="112"/>
      <c r="G63" s="112"/>
      <c r="H63" s="122"/>
      <c r="I63" s="112"/>
      <c r="J63" s="112"/>
      <c r="K63" s="112"/>
      <c r="L63" s="112"/>
      <c r="M63" s="112"/>
      <c r="N63" s="112"/>
      <c r="O63" s="122"/>
      <c r="P63" s="112"/>
      <c r="Q63" s="112"/>
      <c r="R63" s="112"/>
      <c r="S63" s="112"/>
      <c r="T63" s="112"/>
      <c r="U63" s="112"/>
      <c r="V63" s="112"/>
    </row>
    <row r="64" spans="1:22" x14ac:dyDescent="0.2">
      <c r="A64" s="123">
        <v>2001</v>
      </c>
      <c r="B64" s="112"/>
      <c r="C64" s="112"/>
      <c r="D64" s="112"/>
      <c r="E64" s="112"/>
      <c r="F64" s="112"/>
      <c r="G64" s="112"/>
      <c r="H64" s="122"/>
      <c r="I64" s="112"/>
      <c r="J64" s="112"/>
      <c r="K64" s="112"/>
      <c r="L64" s="112"/>
      <c r="M64" s="112"/>
      <c r="N64" s="112"/>
      <c r="O64" s="122"/>
      <c r="P64" s="112"/>
      <c r="Q64" s="112"/>
      <c r="R64" s="112"/>
      <c r="S64" s="112"/>
      <c r="T64" s="112"/>
      <c r="U64" s="112"/>
      <c r="V64" s="112"/>
    </row>
    <row r="65" spans="1:22" x14ac:dyDescent="0.2">
      <c r="A65" s="47" t="s">
        <v>74</v>
      </c>
      <c r="B65" s="112">
        <v>13.923</v>
      </c>
      <c r="C65" s="112">
        <v>77.021000000000001</v>
      </c>
      <c r="D65" s="112">
        <v>167.804</v>
      </c>
      <c r="E65" s="112">
        <v>138.833</v>
      </c>
      <c r="F65" s="112">
        <v>58.734999999999999</v>
      </c>
      <c r="G65" s="112">
        <v>0.48399999999999999</v>
      </c>
      <c r="H65" s="122">
        <v>456.79599999999999</v>
      </c>
      <c r="I65" s="112">
        <v>8.43</v>
      </c>
      <c r="J65" s="112">
        <v>41.941000000000003</v>
      </c>
      <c r="K65" s="112">
        <v>81.302000000000007</v>
      </c>
      <c r="L65" s="112">
        <v>96.9</v>
      </c>
      <c r="M65" s="112">
        <v>43.558999999999997</v>
      </c>
      <c r="N65" s="112">
        <v>3.722</v>
      </c>
      <c r="O65" s="122">
        <v>275.85399999999998</v>
      </c>
      <c r="P65" s="112">
        <v>22.353000000000002</v>
      </c>
      <c r="Q65" s="112">
        <v>118.962</v>
      </c>
      <c r="R65" s="112">
        <v>249.10599999999999</v>
      </c>
      <c r="S65" s="112">
        <v>235.733</v>
      </c>
      <c r="T65" s="112">
        <v>102.294</v>
      </c>
      <c r="U65" s="112">
        <v>4.2059999999999995</v>
      </c>
      <c r="V65" s="112">
        <v>732.65</v>
      </c>
    </row>
    <row r="66" spans="1:22" x14ac:dyDescent="0.2">
      <c r="A66" s="47" t="s">
        <v>75</v>
      </c>
      <c r="B66" s="112">
        <v>11.450000000000001</v>
      </c>
      <c r="C66" s="112">
        <v>70.057000000000002</v>
      </c>
      <c r="D66" s="112">
        <v>152.417</v>
      </c>
      <c r="E66" s="112">
        <v>128.96799999999999</v>
      </c>
      <c r="F66" s="112">
        <v>53.439</v>
      </c>
      <c r="G66" s="112">
        <v>0.98299999999999998</v>
      </c>
      <c r="H66" s="122">
        <v>417.31299999999999</v>
      </c>
      <c r="I66" s="112">
        <v>7.1509999999999998</v>
      </c>
      <c r="J66" s="112">
        <v>38.579000000000001</v>
      </c>
      <c r="K66" s="112">
        <v>74.884</v>
      </c>
      <c r="L66" s="112">
        <v>90.429000000000002</v>
      </c>
      <c r="M66" s="112">
        <v>40.17</v>
      </c>
      <c r="N66" s="112">
        <v>4.5220000000000002</v>
      </c>
      <c r="O66" s="122">
        <v>255.73500000000001</v>
      </c>
      <c r="P66" s="112">
        <v>18.600999999999999</v>
      </c>
      <c r="Q66" s="112">
        <v>108.636</v>
      </c>
      <c r="R66" s="112">
        <v>227.30099999999999</v>
      </c>
      <c r="S66" s="112">
        <v>219.39699999999999</v>
      </c>
      <c r="T66" s="112">
        <v>93.609000000000009</v>
      </c>
      <c r="U66" s="112">
        <v>5.5049999999999999</v>
      </c>
      <c r="V66" s="112">
        <v>673.048</v>
      </c>
    </row>
    <row r="67" spans="1:22" x14ac:dyDescent="0.2">
      <c r="A67" s="47" t="s">
        <v>76</v>
      </c>
      <c r="B67" s="112">
        <v>15.195</v>
      </c>
      <c r="C67" s="112">
        <v>85.064999999999998</v>
      </c>
      <c r="D67" s="112">
        <v>175.32900000000001</v>
      </c>
      <c r="E67" s="112">
        <v>150.303</v>
      </c>
      <c r="F67" s="112">
        <v>64.930000000000007</v>
      </c>
      <c r="G67" s="112">
        <v>0.93100000000000005</v>
      </c>
      <c r="H67" s="122">
        <v>491.755</v>
      </c>
      <c r="I67" s="112">
        <v>9.2000000000000011</v>
      </c>
      <c r="J67" s="112">
        <v>45.960999999999999</v>
      </c>
      <c r="K67" s="112">
        <v>97.363</v>
      </c>
      <c r="L67" s="112">
        <v>111.31700000000001</v>
      </c>
      <c r="M67" s="112">
        <v>59.462000000000003</v>
      </c>
      <c r="N67" s="112">
        <v>4.407</v>
      </c>
      <c r="O67" s="122">
        <v>327.70699999999999</v>
      </c>
      <c r="P67" s="112">
        <v>24.395000000000003</v>
      </c>
      <c r="Q67" s="112">
        <v>131.02600000000001</v>
      </c>
      <c r="R67" s="112">
        <v>272.69200000000001</v>
      </c>
      <c r="S67" s="112">
        <v>261.62</v>
      </c>
      <c r="T67" s="112">
        <v>124.39200000000001</v>
      </c>
      <c r="U67" s="112">
        <v>5.3380000000000001</v>
      </c>
      <c r="V67" s="112">
        <v>819.46199999999999</v>
      </c>
    </row>
    <row r="68" spans="1:22" x14ac:dyDescent="0.2">
      <c r="A68" s="47" t="s">
        <v>77</v>
      </c>
      <c r="B68" s="112">
        <v>40.567999999999998</v>
      </c>
      <c r="C68" s="112">
        <v>232.143</v>
      </c>
      <c r="D68" s="112">
        <v>495.55</v>
      </c>
      <c r="E68" s="112">
        <v>418.10399999999998</v>
      </c>
      <c r="F68" s="112">
        <v>177.10400000000001</v>
      </c>
      <c r="G68" s="112">
        <v>2.3980000000000001</v>
      </c>
      <c r="H68" s="122">
        <v>1365.864</v>
      </c>
      <c r="I68" s="112">
        <v>24.780999999999999</v>
      </c>
      <c r="J68" s="112">
        <v>126.48100000000001</v>
      </c>
      <c r="K68" s="112">
        <v>253.54900000000001</v>
      </c>
      <c r="L68" s="112">
        <v>298.64600000000002</v>
      </c>
      <c r="M68" s="112">
        <v>143.191</v>
      </c>
      <c r="N68" s="112">
        <v>12.651</v>
      </c>
      <c r="O68" s="122">
        <v>859.29599999999994</v>
      </c>
      <c r="P68" s="112">
        <v>65.34899999999999</v>
      </c>
      <c r="Q68" s="112">
        <v>358.62400000000002</v>
      </c>
      <c r="R68" s="112">
        <v>749.09900000000005</v>
      </c>
      <c r="S68" s="112">
        <v>716.75</v>
      </c>
      <c r="T68" s="112">
        <v>320.29500000000002</v>
      </c>
      <c r="U68" s="112">
        <v>15.048999999999999</v>
      </c>
      <c r="V68" s="112">
        <v>2225.16</v>
      </c>
    </row>
    <row r="69" spans="1:22" x14ac:dyDescent="0.2">
      <c r="A69" s="47" t="s">
        <v>78</v>
      </c>
      <c r="B69" s="112">
        <v>14.138</v>
      </c>
      <c r="C69" s="112">
        <v>74.307000000000002</v>
      </c>
      <c r="D69" s="112">
        <v>166.61500000000001</v>
      </c>
      <c r="E69" s="112">
        <v>137.97200000000001</v>
      </c>
      <c r="F69" s="112">
        <v>61.594000000000001</v>
      </c>
      <c r="G69" s="112">
        <v>0.49199999999999999</v>
      </c>
      <c r="H69" s="122">
        <v>455.11900000000003</v>
      </c>
      <c r="I69" s="112">
        <v>7.6029999999999998</v>
      </c>
      <c r="J69" s="112">
        <v>38.654000000000003</v>
      </c>
      <c r="K69" s="112">
        <v>82.558999999999997</v>
      </c>
      <c r="L69" s="112">
        <v>98.596000000000004</v>
      </c>
      <c r="M69" s="112">
        <v>58.916000000000004</v>
      </c>
      <c r="N69" s="112">
        <v>4.2720000000000002</v>
      </c>
      <c r="O69" s="122">
        <v>290.601</v>
      </c>
      <c r="P69" s="112">
        <v>21.741</v>
      </c>
      <c r="Q69" s="112">
        <v>112.96100000000001</v>
      </c>
      <c r="R69" s="112">
        <v>249.17400000000001</v>
      </c>
      <c r="S69" s="112">
        <v>236.56800000000001</v>
      </c>
      <c r="T69" s="112">
        <v>120.51</v>
      </c>
      <c r="U69" s="112">
        <v>4.7640000000000002</v>
      </c>
      <c r="V69" s="112">
        <v>745.72</v>
      </c>
    </row>
    <row r="70" spans="1:22" x14ac:dyDescent="0.2">
      <c r="A70" s="47" t="s">
        <v>79</v>
      </c>
      <c r="B70" s="112">
        <v>15.943</v>
      </c>
      <c r="C70" s="112">
        <v>80.341999999999999</v>
      </c>
      <c r="D70" s="112">
        <v>176.185</v>
      </c>
      <c r="E70" s="112">
        <v>143.422</v>
      </c>
      <c r="F70" s="112">
        <v>69.894000000000005</v>
      </c>
      <c r="G70" s="112">
        <v>0.93300000000000005</v>
      </c>
      <c r="H70" s="122">
        <v>486.714</v>
      </c>
      <c r="I70" s="112">
        <v>8.5080000000000009</v>
      </c>
      <c r="J70" s="112">
        <v>40.43</v>
      </c>
      <c r="K70" s="112">
        <v>84.277000000000001</v>
      </c>
      <c r="L70" s="112">
        <v>113.526</v>
      </c>
      <c r="M70" s="112">
        <v>53.14</v>
      </c>
      <c r="N70" s="112">
        <v>5.3040000000000003</v>
      </c>
      <c r="O70" s="122">
        <v>305.18299999999999</v>
      </c>
      <c r="P70" s="112">
        <v>24.451000000000001</v>
      </c>
      <c r="Q70" s="112">
        <v>120.77199999999999</v>
      </c>
      <c r="R70" s="112">
        <v>260.46199999999999</v>
      </c>
      <c r="S70" s="112">
        <v>256.94799999999998</v>
      </c>
      <c r="T70" s="112">
        <v>123.03400000000001</v>
      </c>
      <c r="U70" s="112">
        <v>6.2370000000000001</v>
      </c>
      <c r="V70" s="112">
        <v>791.89699999999993</v>
      </c>
    </row>
    <row r="71" spans="1:22" x14ac:dyDescent="0.2">
      <c r="A71" s="47" t="s">
        <v>89</v>
      </c>
      <c r="B71" s="112">
        <v>13.671000000000001</v>
      </c>
      <c r="C71" s="112">
        <v>86.168999999999997</v>
      </c>
      <c r="D71" s="112">
        <v>179.28</v>
      </c>
      <c r="E71" s="112">
        <v>144.81100000000001</v>
      </c>
      <c r="F71" s="112">
        <v>72.643000000000001</v>
      </c>
      <c r="G71" s="112">
        <v>0.93100000000000005</v>
      </c>
      <c r="H71" s="122">
        <v>497.505</v>
      </c>
      <c r="I71" s="112">
        <v>9.697000000000001</v>
      </c>
      <c r="J71" s="112">
        <v>39.393000000000001</v>
      </c>
      <c r="K71" s="112">
        <v>92.870999999999995</v>
      </c>
      <c r="L71" s="112">
        <v>107.61800000000001</v>
      </c>
      <c r="M71" s="112">
        <v>64.259</v>
      </c>
      <c r="N71" s="112">
        <v>4.5389999999999997</v>
      </c>
      <c r="O71" s="122">
        <v>318.375</v>
      </c>
      <c r="P71" s="112">
        <v>23.368000000000002</v>
      </c>
      <c r="Q71" s="112">
        <v>125.562</v>
      </c>
      <c r="R71" s="112">
        <v>272.15100000000001</v>
      </c>
      <c r="S71" s="112">
        <v>252.42900000000003</v>
      </c>
      <c r="T71" s="112">
        <v>136.90199999999999</v>
      </c>
      <c r="U71" s="112">
        <v>5.47</v>
      </c>
      <c r="V71" s="112">
        <v>815.88</v>
      </c>
    </row>
    <row r="72" spans="1:22" x14ac:dyDescent="0.2">
      <c r="A72" s="47" t="s">
        <v>80</v>
      </c>
      <c r="B72" s="112">
        <v>43.752000000000002</v>
      </c>
      <c r="C72" s="112">
        <v>240.81799999999998</v>
      </c>
      <c r="D72" s="112">
        <v>522.08000000000004</v>
      </c>
      <c r="E72" s="112">
        <v>426.20500000000004</v>
      </c>
      <c r="F72" s="112">
        <v>204.131</v>
      </c>
      <c r="G72" s="112">
        <v>2.3559999999999999</v>
      </c>
      <c r="H72" s="122">
        <v>1439.3380000000002</v>
      </c>
      <c r="I72" s="112">
        <v>25.808</v>
      </c>
      <c r="J72" s="112">
        <v>118.477</v>
      </c>
      <c r="K72" s="112">
        <v>259.70699999999999</v>
      </c>
      <c r="L72" s="112">
        <v>319.74</v>
      </c>
      <c r="M72" s="112">
        <v>176.315</v>
      </c>
      <c r="N72" s="112">
        <v>14.115</v>
      </c>
      <c r="O72" s="122">
        <v>914.15899999999999</v>
      </c>
      <c r="P72" s="112">
        <v>69.56</v>
      </c>
      <c r="Q72" s="112">
        <v>359.29499999999996</v>
      </c>
      <c r="R72" s="112">
        <v>781.78700000000003</v>
      </c>
      <c r="S72" s="112">
        <v>745.94500000000005</v>
      </c>
      <c r="T72" s="112">
        <v>380.44600000000003</v>
      </c>
      <c r="U72" s="112">
        <v>16.471</v>
      </c>
      <c r="V72" s="112">
        <v>2353.4970000000003</v>
      </c>
    </row>
    <row r="73" spans="1:22" x14ac:dyDescent="0.2">
      <c r="A73" s="47" t="s">
        <v>90</v>
      </c>
      <c r="B73" s="112">
        <v>14.241</v>
      </c>
      <c r="C73" s="112">
        <v>68.414000000000001</v>
      </c>
      <c r="D73" s="112">
        <v>172.286</v>
      </c>
      <c r="E73" s="112">
        <v>128.036</v>
      </c>
      <c r="F73" s="112">
        <v>69.230999999999995</v>
      </c>
      <c r="G73" s="112">
        <v>0.85899999999999999</v>
      </c>
      <c r="H73" s="122">
        <v>453.06900000000002</v>
      </c>
      <c r="I73" s="112">
        <v>9.8209999999999997</v>
      </c>
      <c r="J73" s="112">
        <v>45.692</v>
      </c>
      <c r="K73" s="112">
        <v>97.079000000000008</v>
      </c>
      <c r="L73" s="112">
        <v>112.42100000000001</v>
      </c>
      <c r="M73" s="112">
        <v>63.734000000000002</v>
      </c>
      <c r="N73" s="112">
        <v>5.7140000000000004</v>
      </c>
      <c r="O73" s="122">
        <v>334.46300000000002</v>
      </c>
      <c r="P73" s="112">
        <v>24.061999999999998</v>
      </c>
      <c r="Q73" s="112">
        <v>114.10599999999999</v>
      </c>
      <c r="R73" s="112">
        <v>269.36500000000001</v>
      </c>
      <c r="S73" s="112">
        <v>240.45699999999999</v>
      </c>
      <c r="T73" s="112">
        <v>132.965</v>
      </c>
      <c r="U73" s="112">
        <v>6.5730000000000004</v>
      </c>
      <c r="V73" s="112">
        <v>787.53200000000004</v>
      </c>
    </row>
    <row r="74" spans="1:22" x14ac:dyDescent="0.2">
      <c r="A74" s="47" t="s">
        <v>81</v>
      </c>
      <c r="B74" s="112">
        <v>14.366</v>
      </c>
      <c r="C74" s="112">
        <v>72.316000000000003</v>
      </c>
      <c r="D74" s="112">
        <v>194.03300000000002</v>
      </c>
      <c r="E74" s="112">
        <v>138.47800000000001</v>
      </c>
      <c r="F74" s="112">
        <v>77.45</v>
      </c>
      <c r="G74" s="112">
        <v>0.751</v>
      </c>
      <c r="H74" s="122">
        <v>497.38900000000001</v>
      </c>
      <c r="I74" s="112">
        <v>10.153</v>
      </c>
      <c r="J74" s="112">
        <v>44.631999999999998</v>
      </c>
      <c r="K74" s="112">
        <v>106.557</v>
      </c>
      <c r="L74" s="112">
        <v>117.82300000000001</v>
      </c>
      <c r="M74" s="112">
        <v>68.813000000000002</v>
      </c>
      <c r="N74" s="112">
        <v>4.5360000000000005</v>
      </c>
      <c r="O74" s="122">
        <v>352.51600000000002</v>
      </c>
      <c r="P74" s="112">
        <v>24.518999999999998</v>
      </c>
      <c r="Q74" s="112">
        <v>116.94800000000001</v>
      </c>
      <c r="R74" s="112">
        <v>300.59000000000003</v>
      </c>
      <c r="S74" s="112">
        <v>256.30100000000004</v>
      </c>
      <c r="T74" s="112">
        <v>146.26300000000001</v>
      </c>
      <c r="U74" s="112">
        <v>5.2870000000000008</v>
      </c>
      <c r="V74" s="112">
        <v>849.90499999999997</v>
      </c>
    </row>
    <row r="75" spans="1:22" x14ac:dyDescent="0.2">
      <c r="A75" s="47" t="s">
        <v>82</v>
      </c>
      <c r="B75" s="112">
        <v>14.891</v>
      </c>
      <c r="C75" s="112">
        <v>63.53</v>
      </c>
      <c r="D75" s="112">
        <v>168.989</v>
      </c>
      <c r="E75" s="112">
        <v>114.84700000000001</v>
      </c>
      <c r="F75" s="112">
        <v>62.876000000000005</v>
      </c>
      <c r="G75" s="112">
        <v>0.87</v>
      </c>
      <c r="H75" s="122">
        <v>426.00200000000001</v>
      </c>
      <c r="I75" s="112">
        <v>9.5850000000000009</v>
      </c>
      <c r="J75" s="112">
        <v>46.201000000000001</v>
      </c>
      <c r="K75" s="112">
        <v>113.29900000000001</v>
      </c>
      <c r="L75" s="112">
        <v>108.84100000000001</v>
      </c>
      <c r="M75" s="112">
        <v>70.42</v>
      </c>
      <c r="N75" s="112">
        <v>6.202</v>
      </c>
      <c r="O75" s="122">
        <v>354.54500000000002</v>
      </c>
      <c r="P75" s="112">
        <v>24.475999999999999</v>
      </c>
      <c r="Q75" s="112">
        <v>109.73099999999999</v>
      </c>
      <c r="R75" s="112">
        <v>282.28800000000001</v>
      </c>
      <c r="S75" s="112">
        <v>223.68800000000002</v>
      </c>
      <c r="T75" s="112">
        <v>133.29599999999999</v>
      </c>
      <c r="U75" s="112">
        <v>7.0720000000000001</v>
      </c>
      <c r="V75" s="112">
        <v>780.54700000000003</v>
      </c>
    </row>
    <row r="76" spans="1:22" x14ac:dyDescent="0.2">
      <c r="A76" s="47" t="s">
        <v>83</v>
      </c>
      <c r="B76" s="112">
        <v>43.497999999999998</v>
      </c>
      <c r="C76" s="112">
        <v>204.26000000000002</v>
      </c>
      <c r="D76" s="112">
        <v>535.30799999999999</v>
      </c>
      <c r="E76" s="112">
        <v>381.36099999999999</v>
      </c>
      <c r="F76" s="112">
        <v>209.55699999999999</v>
      </c>
      <c r="G76" s="112">
        <v>2.48</v>
      </c>
      <c r="H76" s="122">
        <v>1376.46</v>
      </c>
      <c r="I76" s="112">
        <v>29.559000000000001</v>
      </c>
      <c r="J76" s="112">
        <v>136.52500000000001</v>
      </c>
      <c r="K76" s="112">
        <v>316.93500000000006</v>
      </c>
      <c r="L76" s="112">
        <v>339.08500000000004</v>
      </c>
      <c r="M76" s="112">
        <v>202.96699999999998</v>
      </c>
      <c r="N76" s="112">
        <v>16.451999999999998</v>
      </c>
      <c r="O76" s="122">
        <v>1041.5240000000001</v>
      </c>
      <c r="P76" s="112">
        <v>73.057000000000002</v>
      </c>
      <c r="Q76" s="112">
        <v>340.78500000000003</v>
      </c>
      <c r="R76" s="112">
        <v>852.24300000000005</v>
      </c>
      <c r="S76" s="112">
        <v>720.44600000000003</v>
      </c>
      <c r="T76" s="112">
        <v>412.524</v>
      </c>
      <c r="U76" s="112">
        <v>18.931999999999999</v>
      </c>
      <c r="V76" s="112">
        <v>2417.9840000000004</v>
      </c>
    </row>
    <row r="77" spans="1:22" x14ac:dyDescent="0.2">
      <c r="A77" s="47" t="s">
        <v>85</v>
      </c>
      <c r="B77" s="112">
        <v>14.487</v>
      </c>
      <c r="C77" s="112">
        <v>72.832000000000008</v>
      </c>
      <c r="D77" s="112">
        <v>180.398</v>
      </c>
      <c r="E77" s="112">
        <v>125.497</v>
      </c>
      <c r="F77" s="112">
        <v>75.995000000000005</v>
      </c>
      <c r="G77" s="112">
        <v>0.54300000000000004</v>
      </c>
      <c r="H77" s="122">
        <v>469.75200000000001</v>
      </c>
      <c r="I77" s="112">
        <v>10.943</v>
      </c>
      <c r="J77" s="112">
        <v>55.838000000000001</v>
      </c>
      <c r="K77" s="112">
        <v>118.07300000000001</v>
      </c>
      <c r="L77" s="112">
        <v>137.02799999999999</v>
      </c>
      <c r="M77" s="112">
        <v>71.686000000000007</v>
      </c>
      <c r="N77" s="112">
        <v>5.1660000000000004</v>
      </c>
      <c r="O77" s="122">
        <v>398.73399999999998</v>
      </c>
      <c r="P77" s="112">
        <v>25.43</v>
      </c>
      <c r="Q77" s="112">
        <v>128.67000000000002</v>
      </c>
      <c r="R77" s="112">
        <v>298.471</v>
      </c>
      <c r="S77" s="112">
        <v>262.52499999999998</v>
      </c>
      <c r="T77" s="112">
        <v>147.68100000000001</v>
      </c>
      <c r="U77" s="112">
        <v>5.7090000000000005</v>
      </c>
      <c r="V77" s="112">
        <v>868.48599999999999</v>
      </c>
    </row>
    <row r="78" spans="1:22" x14ac:dyDescent="0.2">
      <c r="A78" s="47" t="s">
        <v>86</v>
      </c>
      <c r="B78" s="112">
        <v>15.535</v>
      </c>
      <c r="C78" s="112">
        <v>68.658000000000001</v>
      </c>
      <c r="D78" s="112">
        <v>156.90800000000002</v>
      </c>
      <c r="E78" s="112">
        <v>115.739</v>
      </c>
      <c r="F78" s="112">
        <v>60.471000000000004</v>
      </c>
      <c r="G78" s="112">
        <v>0.45700000000000002</v>
      </c>
      <c r="H78" s="122">
        <v>417.76800000000003</v>
      </c>
      <c r="I78" s="112">
        <v>11.4</v>
      </c>
      <c r="J78" s="112">
        <v>48.143000000000001</v>
      </c>
      <c r="K78" s="112">
        <v>107.83800000000001</v>
      </c>
      <c r="L78" s="112">
        <v>138.518</v>
      </c>
      <c r="M78" s="112">
        <v>74.230999999999995</v>
      </c>
      <c r="N78" s="112">
        <v>4.681</v>
      </c>
      <c r="O78" s="122">
        <v>384.81100000000004</v>
      </c>
      <c r="P78" s="112">
        <v>26.935000000000002</v>
      </c>
      <c r="Q78" s="112">
        <v>116.801</v>
      </c>
      <c r="R78" s="112">
        <v>264.74600000000004</v>
      </c>
      <c r="S78" s="112">
        <v>254.25700000000001</v>
      </c>
      <c r="T78" s="112">
        <v>134.702</v>
      </c>
      <c r="U78" s="112">
        <v>5.1379999999999999</v>
      </c>
      <c r="V78" s="112">
        <v>802.57900000000006</v>
      </c>
    </row>
    <row r="79" spans="1:22" x14ac:dyDescent="0.2">
      <c r="A79" s="47" t="s">
        <v>87</v>
      </c>
      <c r="B79" s="112">
        <v>12.304</v>
      </c>
      <c r="C79" s="112">
        <v>53.188000000000002</v>
      </c>
      <c r="D79" s="112">
        <v>124.232</v>
      </c>
      <c r="E79" s="112">
        <v>95.844000000000008</v>
      </c>
      <c r="F79" s="112">
        <v>55.99</v>
      </c>
      <c r="G79" s="112">
        <v>0.40500000000000003</v>
      </c>
      <c r="H79" s="122">
        <v>341.96300000000002</v>
      </c>
      <c r="I79" s="112">
        <v>9.3759999999999994</v>
      </c>
      <c r="J79" s="112">
        <v>43.883000000000003</v>
      </c>
      <c r="K79" s="112">
        <v>93.593000000000004</v>
      </c>
      <c r="L79" s="112">
        <v>109.587</v>
      </c>
      <c r="M79" s="112">
        <v>59.85</v>
      </c>
      <c r="N79" s="112">
        <v>5.0380000000000003</v>
      </c>
      <c r="O79" s="122">
        <v>321.327</v>
      </c>
      <c r="P79" s="112">
        <v>21.68</v>
      </c>
      <c r="Q79" s="112">
        <v>97.070999999999998</v>
      </c>
      <c r="R79" s="112">
        <v>217.82499999999999</v>
      </c>
      <c r="S79" s="112">
        <v>205.43100000000001</v>
      </c>
      <c r="T79" s="112">
        <v>115.84</v>
      </c>
      <c r="U79" s="112">
        <v>5.4430000000000005</v>
      </c>
      <c r="V79" s="112">
        <v>663.29</v>
      </c>
    </row>
    <row r="80" spans="1:22" x14ac:dyDescent="0.2">
      <c r="A80" s="47" t="s">
        <v>84</v>
      </c>
      <c r="B80" s="112">
        <v>42.326000000000001</v>
      </c>
      <c r="C80" s="112">
        <v>194.678</v>
      </c>
      <c r="D80" s="112">
        <v>461.53800000000001</v>
      </c>
      <c r="E80" s="112">
        <v>337.08</v>
      </c>
      <c r="F80" s="112">
        <v>192.45600000000002</v>
      </c>
      <c r="G80" s="112">
        <v>1.405</v>
      </c>
      <c r="H80" s="122">
        <v>1229.4829999999999</v>
      </c>
      <c r="I80" s="112">
        <v>31.719000000000001</v>
      </c>
      <c r="J80" s="112">
        <v>147.864</v>
      </c>
      <c r="K80" s="112">
        <v>319.50400000000002</v>
      </c>
      <c r="L80" s="112">
        <v>385.13299999999998</v>
      </c>
      <c r="M80" s="112">
        <v>205.767</v>
      </c>
      <c r="N80" s="112">
        <v>14.885000000000002</v>
      </c>
      <c r="O80" s="122">
        <v>1104.8720000000001</v>
      </c>
      <c r="P80" s="112">
        <v>74.045000000000002</v>
      </c>
      <c r="Q80" s="112">
        <v>342.54200000000003</v>
      </c>
      <c r="R80" s="112">
        <v>781.04200000000014</v>
      </c>
      <c r="S80" s="112">
        <v>722.21299999999997</v>
      </c>
      <c r="T80" s="112">
        <v>398.22300000000007</v>
      </c>
      <c r="U80" s="112">
        <v>16.290000000000003</v>
      </c>
      <c r="V80" s="112">
        <v>2334.355</v>
      </c>
    </row>
    <row r="81" spans="1:22" x14ac:dyDescent="0.2">
      <c r="A81" s="123"/>
      <c r="B81" s="112"/>
      <c r="C81" s="112"/>
      <c r="D81" s="112"/>
      <c r="E81" s="112"/>
      <c r="F81" s="112"/>
      <c r="G81" s="112"/>
      <c r="H81" s="122"/>
      <c r="I81" s="112"/>
      <c r="J81" s="112"/>
      <c r="K81" s="112"/>
      <c r="L81" s="112"/>
      <c r="M81" s="112"/>
      <c r="N81" s="112"/>
      <c r="O81" s="122"/>
      <c r="P81" s="112"/>
      <c r="Q81" s="112"/>
      <c r="R81" s="112"/>
      <c r="S81" s="112"/>
      <c r="T81" s="112"/>
      <c r="U81" s="112"/>
      <c r="V81" s="112"/>
    </row>
    <row r="82" spans="1:22" x14ac:dyDescent="0.2">
      <c r="A82" s="123">
        <v>2002</v>
      </c>
      <c r="B82" s="112"/>
      <c r="C82" s="112"/>
      <c r="D82" s="112"/>
      <c r="E82" s="112"/>
      <c r="F82" s="112"/>
      <c r="G82" s="112"/>
      <c r="H82" s="122"/>
      <c r="I82" s="112"/>
      <c r="J82" s="112"/>
      <c r="K82" s="112"/>
      <c r="L82" s="112"/>
      <c r="M82" s="112"/>
      <c r="N82" s="112"/>
      <c r="O82" s="122"/>
      <c r="P82" s="112"/>
      <c r="Q82" s="112"/>
      <c r="R82" s="112"/>
      <c r="S82" s="112"/>
      <c r="T82" s="112"/>
      <c r="U82" s="112"/>
      <c r="V82" s="112"/>
    </row>
    <row r="83" spans="1:22" x14ac:dyDescent="0.2">
      <c r="A83" s="47" t="s">
        <v>74</v>
      </c>
      <c r="B83" s="112">
        <v>12.277000000000001</v>
      </c>
      <c r="C83" s="112">
        <v>67.460999999999999</v>
      </c>
      <c r="D83" s="112">
        <v>161.96100000000001</v>
      </c>
      <c r="E83" s="112">
        <v>117.611</v>
      </c>
      <c r="F83" s="112">
        <v>63.922000000000004</v>
      </c>
      <c r="G83" s="112">
        <v>0.25600000000000001</v>
      </c>
      <c r="H83" s="122">
        <v>423.488</v>
      </c>
      <c r="I83" s="112">
        <v>8.0080000000000009</v>
      </c>
      <c r="J83" s="112">
        <v>45.673999999999999</v>
      </c>
      <c r="K83" s="112">
        <v>77.301000000000002</v>
      </c>
      <c r="L83" s="112">
        <v>107.05</v>
      </c>
      <c r="M83" s="112">
        <v>42.722000000000001</v>
      </c>
      <c r="N83" s="112">
        <v>4.83</v>
      </c>
      <c r="O83" s="122">
        <v>285.58499999999998</v>
      </c>
      <c r="P83" s="112">
        <v>20.285000000000004</v>
      </c>
      <c r="Q83" s="112">
        <v>113.13499999999999</v>
      </c>
      <c r="R83" s="112">
        <v>239.262</v>
      </c>
      <c r="S83" s="112">
        <v>224.661</v>
      </c>
      <c r="T83" s="112">
        <v>106.64400000000001</v>
      </c>
      <c r="U83" s="112">
        <v>5.0860000000000003</v>
      </c>
      <c r="V83" s="112">
        <v>709.07299999999998</v>
      </c>
    </row>
    <row r="84" spans="1:22" x14ac:dyDescent="0.2">
      <c r="A84" s="47" t="s">
        <v>75</v>
      </c>
      <c r="B84" s="112">
        <v>10.561</v>
      </c>
      <c r="C84" s="112">
        <v>66.510000000000005</v>
      </c>
      <c r="D84" s="112">
        <v>142.39699999999999</v>
      </c>
      <c r="E84" s="112">
        <v>112.208</v>
      </c>
      <c r="F84" s="112">
        <v>62.564</v>
      </c>
      <c r="G84" s="112">
        <v>0.28700000000000003</v>
      </c>
      <c r="H84" s="122">
        <v>394.52699999999999</v>
      </c>
      <c r="I84" s="112">
        <v>7.4569999999999999</v>
      </c>
      <c r="J84" s="112">
        <v>41.442999999999998</v>
      </c>
      <c r="K84" s="112">
        <v>69.435000000000002</v>
      </c>
      <c r="L84" s="112">
        <v>97.16</v>
      </c>
      <c r="M84" s="112">
        <v>46.262999999999998</v>
      </c>
      <c r="N84" s="112">
        <v>5.0810000000000004</v>
      </c>
      <c r="O84" s="122">
        <v>266.839</v>
      </c>
      <c r="P84" s="112">
        <v>18.018000000000001</v>
      </c>
      <c r="Q84" s="112">
        <v>107.953</v>
      </c>
      <c r="R84" s="112">
        <v>211.83199999999999</v>
      </c>
      <c r="S84" s="112">
        <v>209.36799999999999</v>
      </c>
      <c r="T84" s="112">
        <v>108.827</v>
      </c>
      <c r="U84" s="112">
        <v>5.3680000000000003</v>
      </c>
      <c r="V84" s="112">
        <v>661.36599999999999</v>
      </c>
    </row>
    <row r="85" spans="1:22" x14ac:dyDescent="0.2">
      <c r="A85" s="47" t="s">
        <v>76</v>
      </c>
      <c r="B85" s="112">
        <v>12.022</v>
      </c>
      <c r="C85" s="112">
        <v>68.47</v>
      </c>
      <c r="D85" s="112">
        <v>151.51</v>
      </c>
      <c r="E85" s="112">
        <v>117.979</v>
      </c>
      <c r="F85" s="112">
        <v>63.215000000000003</v>
      </c>
      <c r="G85" s="112">
        <v>0.112</v>
      </c>
      <c r="H85" s="122">
        <v>413.30799999999999</v>
      </c>
      <c r="I85" s="112">
        <v>12.926</v>
      </c>
      <c r="J85" s="112">
        <v>45.835999999999999</v>
      </c>
      <c r="K85" s="112">
        <v>87.12</v>
      </c>
      <c r="L85" s="112">
        <v>119.92100000000001</v>
      </c>
      <c r="M85" s="112">
        <v>59.887</v>
      </c>
      <c r="N85" s="112">
        <v>5.8580000000000005</v>
      </c>
      <c r="O85" s="122">
        <v>331.548</v>
      </c>
      <c r="P85" s="112">
        <v>24.948</v>
      </c>
      <c r="Q85" s="112">
        <v>114.306</v>
      </c>
      <c r="R85" s="112">
        <v>238.63</v>
      </c>
      <c r="S85" s="112">
        <v>237.9</v>
      </c>
      <c r="T85" s="112">
        <v>123.102</v>
      </c>
      <c r="U85" s="112">
        <v>5.9700000000000006</v>
      </c>
      <c r="V85" s="112">
        <v>744.85599999999999</v>
      </c>
    </row>
    <row r="86" spans="1:22" x14ac:dyDescent="0.2">
      <c r="A86" s="47" t="s">
        <v>77</v>
      </c>
      <c r="B86" s="112">
        <v>34.86</v>
      </c>
      <c r="C86" s="112">
        <v>202.441</v>
      </c>
      <c r="D86" s="112">
        <v>455.86799999999999</v>
      </c>
      <c r="E86" s="112">
        <v>347.798</v>
      </c>
      <c r="F86" s="112">
        <v>189.70100000000002</v>
      </c>
      <c r="G86" s="112">
        <v>0.65500000000000003</v>
      </c>
      <c r="H86" s="122">
        <v>1231.3229999999999</v>
      </c>
      <c r="I86" s="112">
        <v>28.390999999999998</v>
      </c>
      <c r="J86" s="112">
        <v>132.95299999999997</v>
      </c>
      <c r="K86" s="112">
        <v>233.85599999999999</v>
      </c>
      <c r="L86" s="112">
        <v>324.13099999999997</v>
      </c>
      <c r="M86" s="112">
        <v>148.87200000000001</v>
      </c>
      <c r="N86" s="112">
        <v>15.769000000000002</v>
      </c>
      <c r="O86" s="122">
        <v>883.97199999999998</v>
      </c>
      <c r="P86" s="112">
        <v>63.251000000000005</v>
      </c>
      <c r="Q86" s="112">
        <v>335.39400000000001</v>
      </c>
      <c r="R86" s="112">
        <v>689.72399999999993</v>
      </c>
      <c r="S86" s="112">
        <v>671.92899999999997</v>
      </c>
      <c r="T86" s="112">
        <v>338.57299999999998</v>
      </c>
      <c r="U86" s="112">
        <v>16.423999999999999</v>
      </c>
      <c r="V86" s="112">
        <v>2115.2950000000001</v>
      </c>
    </row>
    <row r="87" spans="1:22" x14ac:dyDescent="0.2">
      <c r="A87" s="47" t="s">
        <v>78</v>
      </c>
      <c r="B87" s="112">
        <v>11.238</v>
      </c>
      <c r="C87" s="112">
        <v>70.484999999999999</v>
      </c>
      <c r="D87" s="112">
        <v>164.77600000000001</v>
      </c>
      <c r="E87" s="112">
        <v>121.69500000000001</v>
      </c>
      <c r="F87" s="112">
        <v>66.134</v>
      </c>
      <c r="G87" s="112">
        <v>0.186</v>
      </c>
      <c r="H87" s="122">
        <v>434.51400000000001</v>
      </c>
      <c r="I87" s="112">
        <v>8.5660000000000007</v>
      </c>
      <c r="J87" s="112">
        <v>42.033000000000001</v>
      </c>
      <c r="K87" s="112">
        <v>78.694000000000003</v>
      </c>
      <c r="L87" s="112">
        <v>102.15300000000001</v>
      </c>
      <c r="M87" s="112">
        <v>55.749000000000002</v>
      </c>
      <c r="N87" s="112">
        <v>5.0789999999999997</v>
      </c>
      <c r="O87" s="122">
        <v>292.274</v>
      </c>
      <c r="P87" s="112">
        <v>19.804000000000002</v>
      </c>
      <c r="Q87" s="112">
        <v>112.518</v>
      </c>
      <c r="R87" s="112">
        <v>243.47000000000003</v>
      </c>
      <c r="S87" s="112">
        <v>223.84800000000001</v>
      </c>
      <c r="T87" s="112">
        <v>121.88300000000001</v>
      </c>
      <c r="U87" s="112">
        <v>5.2649999999999997</v>
      </c>
      <c r="V87" s="112">
        <v>726.78800000000001</v>
      </c>
    </row>
    <row r="88" spans="1:22" x14ac:dyDescent="0.2">
      <c r="A88" s="47" t="s">
        <v>79</v>
      </c>
      <c r="B88" s="112">
        <v>11.94</v>
      </c>
      <c r="C88" s="112">
        <v>61.526000000000003</v>
      </c>
      <c r="D88" s="112">
        <v>170.05199999999999</v>
      </c>
      <c r="E88" s="112">
        <v>126.666</v>
      </c>
      <c r="F88" s="112">
        <v>70.494</v>
      </c>
      <c r="G88" s="112">
        <v>0.58499999999999996</v>
      </c>
      <c r="H88" s="122">
        <v>441.26300000000003</v>
      </c>
      <c r="I88" s="112">
        <v>9.5960000000000001</v>
      </c>
      <c r="J88" s="112">
        <v>44.154000000000003</v>
      </c>
      <c r="K88" s="112">
        <v>89.54</v>
      </c>
      <c r="L88" s="112">
        <v>138.667</v>
      </c>
      <c r="M88" s="112">
        <v>64.596000000000004</v>
      </c>
      <c r="N88" s="112">
        <v>2.9750000000000001</v>
      </c>
      <c r="O88" s="122">
        <v>349.52800000000002</v>
      </c>
      <c r="P88" s="112">
        <v>21.536000000000001</v>
      </c>
      <c r="Q88" s="112">
        <v>105.68</v>
      </c>
      <c r="R88" s="112">
        <v>259.59199999999998</v>
      </c>
      <c r="S88" s="112">
        <v>265.33299999999997</v>
      </c>
      <c r="T88" s="112">
        <v>135.09</v>
      </c>
      <c r="U88" s="112">
        <v>3.56</v>
      </c>
      <c r="V88" s="112">
        <v>790.79100000000005</v>
      </c>
    </row>
    <row r="89" spans="1:22" x14ac:dyDescent="0.2">
      <c r="A89" s="47" t="s">
        <v>89</v>
      </c>
      <c r="B89" s="112">
        <v>14.521000000000001</v>
      </c>
      <c r="C89" s="112">
        <v>76.358999999999995</v>
      </c>
      <c r="D89" s="112">
        <v>156.523</v>
      </c>
      <c r="E89" s="112">
        <v>116.634</v>
      </c>
      <c r="F89" s="112">
        <v>73.385999999999996</v>
      </c>
      <c r="G89" s="112">
        <v>0.20899999999999999</v>
      </c>
      <c r="H89" s="122">
        <v>437.63200000000001</v>
      </c>
      <c r="I89" s="112">
        <v>12.766999999999999</v>
      </c>
      <c r="J89" s="112">
        <v>55.536000000000001</v>
      </c>
      <c r="K89" s="112">
        <v>91.775000000000006</v>
      </c>
      <c r="L89" s="112">
        <v>120.78100000000001</v>
      </c>
      <c r="M89" s="112">
        <v>54.777999999999999</v>
      </c>
      <c r="N89" s="112">
        <v>6.0720000000000001</v>
      </c>
      <c r="O89" s="122">
        <v>341.709</v>
      </c>
      <c r="P89" s="112">
        <v>27.288</v>
      </c>
      <c r="Q89" s="112">
        <v>131.89499999999998</v>
      </c>
      <c r="R89" s="112">
        <v>248.298</v>
      </c>
      <c r="S89" s="112">
        <v>237.41500000000002</v>
      </c>
      <c r="T89" s="112">
        <v>128.16399999999999</v>
      </c>
      <c r="U89" s="112">
        <v>6.2809999999999997</v>
      </c>
      <c r="V89" s="112">
        <v>779.34100000000001</v>
      </c>
    </row>
    <row r="90" spans="1:22" x14ac:dyDescent="0.2">
      <c r="A90" s="47" t="s">
        <v>80</v>
      </c>
      <c r="B90" s="112">
        <v>37.698999999999998</v>
      </c>
      <c r="C90" s="112">
        <v>208.37</v>
      </c>
      <c r="D90" s="112">
        <v>491.351</v>
      </c>
      <c r="E90" s="112">
        <v>364.995</v>
      </c>
      <c r="F90" s="112">
        <v>210.01399999999998</v>
      </c>
      <c r="G90" s="112">
        <v>0.97999999999999987</v>
      </c>
      <c r="H90" s="122">
        <v>1313.4090000000001</v>
      </c>
      <c r="I90" s="112">
        <v>30.928999999999998</v>
      </c>
      <c r="J90" s="112">
        <v>141.72300000000001</v>
      </c>
      <c r="K90" s="112">
        <v>260.00900000000001</v>
      </c>
      <c r="L90" s="112">
        <v>361.601</v>
      </c>
      <c r="M90" s="112">
        <v>175.12299999999999</v>
      </c>
      <c r="N90" s="112">
        <v>14.126000000000001</v>
      </c>
      <c r="O90" s="122">
        <v>983.51099999999997</v>
      </c>
      <c r="P90" s="112">
        <v>68.628</v>
      </c>
      <c r="Q90" s="112">
        <v>350.09299999999996</v>
      </c>
      <c r="R90" s="112">
        <v>751.36</v>
      </c>
      <c r="S90" s="112">
        <v>726.596</v>
      </c>
      <c r="T90" s="112">
        <v>385.137</v>
      </c>
      <c r="U90" s="112">
        <v>15.105999999999998</v>
      </c>
      <c r="V90" s="112">
        <v>2296.92</v>
      </c>
    </row>
    <row r="91" spans="1:22" x14ac:dyDescent="0.2">
      <c r="A91" s="47" t="s">
        <v>90</v>
      </c>
      <c r="B91" s="112">
        <v>12.242000000000001</v>
      </c>
      <c r="C91" s="112">
        <v>74.266999999999996</v>
      </c>
      <c r="D91" s="112">
        <v>168.767</v>
      </c>
      <c r="E91" s="112">
        <v>119.051</v>
      </c>
      <c r="F91" s="112">
        <v>73.537999999999997</v>
      </c>
      <c r="G91" s="112">
        <v>0.38</v>
      </c>
      <c r="H91" s="122">
        <v>448.245</v>
      </c>
      <c r="I91" s="112">
        <v>9.6549999999999994</v>
      </c>
      <c r="J91" s="112">
        <v>49.053000000000004</v>
      </c>
      <c r="K91" s="112">
        <v>95.643000000000001</v>
      </c>
      <c r="L91" s="112">
        <v>127.90600000000001</v>
      </c>
      <c r="M91" s="112">
        <v>62.533000000000001</v>
      </c>
      <c r="N91" s="112">
        <v>5.6000000000000005</v>
      </c>
      <c r="O91" s="122">
        <v>350.39</v>
      </c>
      <c r="P91" s="112">
        <v>21.896999999999998</v>
      </c>
      <c r="Q91" s="112">
        <v>123.32</v>
      </c>
      <c r="R91" s="112">
        <v>264.40999999999997</v>
      </c>
      <c r="S91" s="112">
        <v>246.95699999999999</v>
      </c>
      <c r="T91" s="112">
        <v>136.071</v>
      </c>
      <c r="U91" s="112">
        <v>5.98</v>
      </c>
      <c r="V91" s="112">
        <v>798.63499999999999</v>
      </c>
    </row>
    <row r="92" spans="1:22" x14ac:dyDescent="0.2">
      <c r="A92" s="47" t="s">
        <v>81</v>
      </c>
      <c r="B92" s="112">
        <v>13.224</v>
      </c>
      <c r="C92" s="112">
        <v>77.171000000000006</v>
      </c>
      <c r="D92" s="112">
        <v>180.22900000000001</v>
      </c>
      <c r="E92" s="112">
        <v>119.66800000000001</v>
      </c>
      <c r="F92" s="112">
        <v>72.719000000000008</v>
      </c>
      <c r="G92" s="112">
        <v>0.67400000000000004</v>
      </c>
      <c r="H92" s="122">
        <v>463.685</v>
      </c>
      <c r="I92" s="112">
        <v>12.99</v>
      </c>
      <c r="J92" s="112">
        <v>49.864000000000004</v>
      </c>
      <c r="K92" s="112">
        <v>95.62</v>
      </c>
      <c r="L92" s="112">
        <v>127.64</v>
      </c>
      <c r="M92" s="112">
        <v>56.542999999999999</v>
      </c>
      <c r="N92" s="112">
        <v>4.0529999999999999</v>
      </c>
      <c r="O92" s="122">
        <v>346.71</v>
      </c>
      <c r="P92" s="112">
        <v>26.213999999999999</v>
      </c>
      <c r="Q92" s="112">
        <v>127.03500000000001</v>
      </c>
      <c r="R92" s="112">
        <v>275.84900000000005</v>
      </c>
      <c r="S92" s="112">
        <v>247.30799999999999</v>
      </c>
      <c r="T92" s="112">
        <v>129.262</v>
      </c>
      <c r="U92" s="112">
        <v>4.7270000000000003</v>
      </c>
      <c r="V92" s="112">
        <v>810.39499999999998</v>
      </c>
    </row>
    <row r="93" spans="1:22" x14ac:dyDescent="0.2">
      <c r="A93" s="47" t="s">
        <v>82</v>
      </c>
      <c r="B93" s="112">
        <v>15.508000000000001</v>
      </c>
      <c r="C93" s="112">
        <v>86.522999999999996</v>
      </c>
      <c r="D93" s="112">
        <v>199.107</v>
      </c>
      <c r="E93" s="112">
        <v>118.95</v>
      </c>
      <c r="F93" s="112">
        <v>74.295000000000002</v>
      </c>
      <c r="G93" s="112">
        <v>0.57899999999999996</v>
      </c>
      <c r="H93" s="122">
        <v>494.96199999999999</v>
      </c>
      <c r="I93" s="112">
        <v>13.151</v>
      </c>
      <c r="J93" s="112">
        <v>66.245000000000005</v>
      </c>
      <c r="K93" s="112">
        <v>161.15100000000001</v>
      </c>
      <c r="L93" s="112">
        <v>137.69200000000001</v>
      </c>
      <c r="M93" s="112">
        <v>60.602000000000004</v>
      </c>
      <c r="N93" s="112">
        <v>4.9969999999999999</v>
      </c>
      <c r="O93" s="122">
        <v>443.83800000000002</v>
      </c>
      <c r="P93" s="112">
        <v>28.658999999999999</v>
      </c>
      <c r="Q93" s="112">
        <v>152.768</v>
      </c>
      <c r="R93" s="112">
        <v>360.25800000000004</v>
      </c>
      <c r="S93" s="112">
        <v>256.642</v>
      </c>
      <c r="T93" s="112">
        <v>134.89699999999999</v>
      </c>
      <c r="U93" s="112">
        <v>5.5759999999999996</v>
      </c>
      <c r="V93" s="112">
        <v>938.8</v>
      </c>
    </row>
    <row r="94" spans="1:22" x14ac:dyDescent="0.2">
      <c r="A94" s="47" t="s">
        <v>83</v>
      </c>
      <c r="B94" s="112">
        <v>40.974000000000004</v>
      </c>
      <c r="C94" s="112">
        <v>237.96099999999998</v>
      </c>
      <c r="D94" s="112">
        <v>548.10299999999995</v>
      </c>
      <c r="E94" s="112">
        <v>357.66899999999998</v>
      </c>
      <c r="F94" s="112">
        <v>220.55200000000002</v>
      </c>
      <c r="G94" s="112">
        <v>1.633</v>
      </c>
      <c r="H94" s="122">
        <v>1406.8920000000001</v>
      </c>
      <c r="I94" s="112">
        <v>35.795999999999999</v>
      </c>
      <c r="J94" s="112">
        <v>165.16200000000001</v>
      </c>
      <c r="K94" s="112">
        <v>352.41399999999999</v>
      </c>
      <c r="L94" s="112">
        <v>393.238</v>
      </c>
      <c r="M94" s="112">
        <v>179.678</v>
      </c>
      <c r="N94" s="112">
        <v>14.65</v>
      </c>
      <c r="O94" s="122">
        <v>1140.9379999999999</v>
      </c>
      <c r="P94" s="112">
        <v>76.77</v>
      </c>
      <c r="Q94" s="112">
        <v>403.12300000000005</v>
      </c>
      <c r="R94" s="112">
        <v>900.51700000000005</v>
      </c>
      <c r="S94" s="112">
        <v>750.90699999999993</v>
      </c>
      <c r="T94" s="112">
        <v>400.22999999999996</v>
      </c>
      <c r="U94" s="112">
        <v>16.283000000000001</v>
      </c>
      <c r="V94" s="112">
        <v>2547.83</v>
      </c>
    </row>
    <row r="95" spans="1:22" x14ac:dyDescent="0.2">
      <c r="A95" s="47" t="s">
        <v>85</v>
      </c>
      <c r="B95" s="112">
        <v>13.086</v>
      </c>
      <c r="C95" s="112">
        <v>70.14</v>
      </c>
      <c r="D95" s="112">
        <v>157.88</v>
      </c>
      <c r="E95" s="112">
        <v>114.655</v>
      </c>
      <c r="F95" s="112">
        <v>65.266000000000005</v>
      </c>
      <c r="G95" s="112">
        <v>0.624</v>
      </c>
      <c r="H95" s="122">
        <v>421.65100000000001</v>
      </c>
      <c r="I95" s="112">
        <v>10.122999999999999</v>
      </c>
      <c r="J95" s="112">
        <v>56.551000000000002</v>
      </c>
      <c r="K95" s="112">
        <v>95.400999999999996</v>
      </c>
      <c r="L95" s="112">
        <v>147.143</v>
      </c>
      <c r="M95" s="112">
        <v>71.513000000000005</v>
      </c>
      <c r="N95" s="112">
        <v>2.992</v>
      </c>
      <c r="O95" s="122">
        <v>383.72300000000001</v>
      </c>
      <c r="P95" s="112">
        <v>23.209</v>
      </c>
      <c r="Q95" s="112">
        <v>126.691</v>
      </c>
      <c r="R95" s="112">
        <v>253.28100000000001</v>
      </c>
      <c r="S95" s="112">
        <v>261.798</v>
      </c>
      <c r="T95" s="112">
        <v>136.779</v>
      </c>
      <c r="U95" s="112">
        <v>3.6160000000000001</v>
      </c>
      <c r="V95" s="112">
        <v>805.37400000000002</v>
      </c>
    </row>
    <row r="96" spans="1:22" x14ac:dyDescent="0.2">
      <c r="A96" s="47" t="s">
        <v>86</v>
      </c>
      <c r="B96" s="112">
        <v>15.427</v>
      </c>
      <c r="C96" s="112">
        <v>62.865000000000002</v>
      </c>
      <c r="D96" s="112">
        <v>133.048</v>
      </c>
      <c r="E96" s="112">
        <v>116.968</v>
      </c>
      <c r="F96" s="112">
        <v>59.072000000000003</v>
      </c>
      <c r="G96" s="112">
        <v>0.307</v>
      </c>
      <c r="H96" s="122">
        <v>387.68700000000001</v>
      </c>
      <c r="I96" s="112">
        <v>10.054</v>
      </c>
      <c r="J96" s="112">
        <v>57.792999999999999</v>
      </c>
      <c r="K96" s="112">
        <v>97.933999999999997</v>
      </c>
      <c r="L96" s="112">
        <v>134.62200000000001</v>
      </c>
      <c r="M96" s="112">
        <v>63.939</v>
      </c>
      <c r="N96" s="112">
        <v>3.6840000000000002</v>
      </c>
      <c r="O96" s="122">
        <v>368.02600000000001</v>
      </c>
      <c r="P96" s="112">
        <v>25.481000000000002</v>
      </c>
      <c r="Q96" s="112">
        <v>120.658</v>
      </c>
      <c r="R96" s="112">
        <v>230.982</v>
      </c>
      <c r="S96" s="112">
        <v>251.59000000000003</v>
      </c>
      <c r="T96" s="112">
        <v>123.011</v>
      </c>
      <c r="U96" s="112">
        <v>3.9910000000000001</v>
      </c>
      <c r="V96" s="112">
        <v>755.71299999999997</v>
      </c>
    </row>
    <row r="97" spans="1:22" x14ac:dyDescent="0.2">
      <c r="A97" s="47" t="s">
        <v>87</v>
      </c>
      <c r="B97" s="112">
        <v>12.055</v>
      </c>
      <c r="C97" s="112">
        <v>60.548999999999999</v>
      </c>
      <c r="D97" s="112">
        <v>123.108</v>
      </c>
      <c r="E97" s="112">
        <v>108.26300000000001</v>
      </c>
      <c r="F97" s="112">
        <v>62.588000000000001</v>
      </c>
      <c r="G97" s="112">
        <v>0.23400000000000001</v>
      </c>
      <c r="H97" s="122">
        <v>366.79700000000003</v>
      </c>
      <c r="I97" s="112">
        <v>8.7910000000000004</v>
      </c>
      <c r="J97" s="112">
        <v>56.384999999999998</v>
      </c>
      <c r="K97" s="112">
        <v>83.277000000000001</v>
      </c>
      <c r="L97" s="112">
        <v>116.05800000000001</v>
      </c>
      <c r="M97" s="112">
        <v>49.524999999999999</v>
      </c>
      <c r="N97" s="112">
        <v>1.4950000000000001</v>
      </c>
      <c r="O97" s="122">
        <v>315.53100000000001</v>
      </c>
      <c r="P97" s="112">
        <v>20.846</v>
      </c>
      <c r="Q97" s="112">
        <v>116.934</v>
      </c>
      <c r="R97" s="112">
        <v>206.38499999999999</v>
      </c>
      <c r="S97" s="112">
        <v>224.32100000000003</v>
      </c>
      <c r="T97" s="112">
        <v>112.113</v>
      </c>
      <c r="U97" s="112">
        <v>1.7290000000000001</v>
      </c>
      <c r="V97" s="112">
        <v>682.32799999999997</v>
      </c>
    </row>
    <row r="98" spans="1:22" x14ac:dyDescent="0.2">
      <c r="A98" s="47" t="s">
        <v>84</v>
      </c>
      <c r="B98" s="112">
        <v>40.567999999999998</v>
      </c>
      <c r="C98" s="112">
        <v>193.554</v>
      </c>
      <c r="D98" s="112">
        <v>414.036</v>
      </c>
      <c r="E98" s="112">
        <v>339.88599999999997</v>
      </c>
      <c r="F98" s="112">
        <v>186.92600000000002</v>
      </c>
      <c r="G98" s="112">
        <v>1.165</v>
      </c>
      <c r="H98" s="122">
        <v>1176.135</v>
      </c>
      <c r="I98" s="112">
        <v>28.968</v>
      </c>
      <c r="J98" s="112">
        <v>170.72899999999998</v>
      </c>
      <c r="K98" s="112">
        <v>276.61199999999997</v>
      </c>
      <c r="L98" s="112">
        <v>397.82299999999998</v>
      </c>
      <c r="M98" s="112">
        <v>184.977</v>
      </c>
      <c r="N98" s="112">
        <v>8.1709999999999994</v>
      </c>
      <c r="O98" s="122">
        <v>1067.28</v>
      </c>
      <c r="P98" s="112">
        <v>69.536000000000001</v>
      </c>
      <c r="Q98" s="112">
        <v>364.28300000000002</v>
      </c>
      <c r="R98" s="112">
        <v>690.64800000000002</v>
      </c>
      <c r="S98" s="112">
        <v>737.70900000000006</v>
      </c>
      <c r="T98" s="112">
        <v>371.90299999999996</v>
      </c>
      <c r="U98" s="112">
        <v>9.3360000000000003</v>
      </c>
      <c r="V98" s="112">
        <v>2243.415</v>
      </c>
    </row>
    <row r="99" spans="1:22" x14ac:dyDescent="0.2">
      <c r="A99" s="114"/>
      <c r="B99" s="112"/>
      <c r="C99" s="112"/>
      <c r="D99" s="112"/>
      <c r="E99" s="112"/>
      <c r="F99" s="112"/>
      <c r="G99" s="112"/>
      <c r="H99" s="122"/>
      <c r="I99" s="112"/>
      <c r="J99" s="112"/>
      <c r="K99" s="112"/>
      <c r="L99" s="112"/>
      <c r="M99" s="112"/>
      <c r="N99" s="112"/>
      <c r="O99" s="122"/>
      <c r="P99" s="112"/>
      <c r="Q99" s="112"/>
      <c r="R99" s="112"/>
      <c r="S99" s="112"/>
      <c r="T99" s="112"/>
      <c r="U99" s="112"/>
      <c r="V99" s="112"/>
    </row>
    <row r="100" spans="1:22" x14ac:dyDescent="0.2">
      <c r="A100" s="123">
        <v>2003</v>
      </c>
      <c r="B100" s="112"/>
      <c r="C100" s="112"/>
      <c r="D100" s="112"/>
      <c r="E100" s="112"/>
      <c r="F100" s="112"/>
      <c r="G100" s="112"/>
      <c r="H100" s="122"/>
      <c r="I100" s="112"/>
      <c r="J100" s="112"/>
      <c r="K100" s="112"/>
      <c r="L100" s="112"/>
      <c r="M100" s="112"/>
      <c r="N100" s="112"/>
      <c r="O100" s="122"/>
      <c r="P100" s="112"/>
      <c r="Q100" s="112"/>
      <c r="R100" s="112"/>
      <c r="S100" s="112"/>
      <c r="T100" s="112"/>
      <c r="U100" s="112"/>
      <c r="V100" s="112"/>
    </row>
    <row r="101" spans="1:22" x14ac:dyDescent="0.2">
      <c r="A101" s="47" t="s">
        <v>74</v>
      </c>
      <c r="B101" s="112">
        <v>11.295999999999999</v>
      </c>
      <c r="C101" s="112">
        <v>64.509</v>
      </c>
      <c r="D101" s="112">
        <v>157.02100000000002</v>
      </c>
      <c r="E101" s="112">
        <v>115.34</v>
      </c>
      <c r="F101" s="112">
        <v>60.902000000000001</v>
      </c>
      <c r="G101" s="112">
        <v>0.35599999999999998</v>
      </c>
      <c r="H101" s="122">
        <v>409.42400000000004</v>
      </c>
      <c r="I101" s="112">
        <v>7.2839999999999998</v>
      </c>
      <c r="J101" s="112">
        <v>44.039000000000001</v>
      </c>
      <c r="K101" s="112">
        <v>70.869</v>
      </c>
      <c r="L101" s="112">
        <v>95.427000000000007</v>
      </c>
      <c r="M101" s="112">
        <v>35.913000000000004</v>
      </c>
      <c r="N101" s="112">
        <v>0.92700000000000005</v>
      </c>
      <c r="O101" s="122">
        <v>254.459</v>
      </c>
      <c r="P101" s="112">
        <v>18.579999999999998</v>
      </c>
      <c r="Q101" s="112">
        <v>108.548</v>
      </c>
      <c r="R101" s="112">
        <v>227.89000000000001</v>
      </c>
      <c r="S101" s="112">
        <v>210.767</v>
      </c>
      <c r="T101" s="112">
        <v>96.814999999999998</v>
      </c>
      <c r="U101" s="112">
        <v>1.2829999999999999</v>
      </c>
      <c r="V101" s="112">
        <v>663.88300000000004</v>
      </c>
    </row>
    <row r="102" spans="1:22" x14ac:dyDescent="0.2">
      <c r="A102" s="47" t="s">
        <v>75</v>
      </c>
      <c r="B102" s="112">
        <v>11.815</v>
      </c>
      <c r="C102" s="112">
        <v>62.938000000000002</v>
      </c>
      <c r="D102" s="112">
        <v>145.60900000000001</v>
      </c>
      <c r="E102" s="112">
        <v>103.247</v>
      </c>
      <c r="F102" s="112">
        <v>56.588999999999999</v>
      </c>
      <c r="G102" s="112">
        <v>0.44700000000000001</v>
      </c>
      <c r="H102" s="122">
        <v>380.64499999999998</v>
      </c>
      <c r="I102" s="112">
        <v>9.0960000000000001</v>
      </c>
      <c r="J102" s="112">
        <v>50.03</v>
      </c>
      <c r="K102" s="112">
        <v>79.924999999999997</v>
      </c>
      <c r="L102" s="112">
        <v>97.387</v>
      </c>
      <c r="M102" s="112">
        <v>39.511000000000003</v>
      </c>
      <c r="N102" s="112">
        <v>3.2189999999999999</v>
      </c>
      <c r="O102" s="122">
        <v>279.16800000000001</v>
      </c>
      <c r="P102" s="112">
        <v>20.911000000000001</v>
      </c>
      <c r="Q102" s="112">
        <v>112.968</v>
      </c>
      <c r="R102" s="112">
        <v>225.53399999999999</v>
      </c>
      <c r="S102" s="112">
        <v>200.63400000000001</v>
      </c>
      <c r="T102" s="112">
        <v>96.1</v>
      </c>
      <c r="U102" s="112">
        <v>3.6659999999999999</v>
      </c>
      <c r="V102" s="112">
        <v>659.81299999999999</v>
      </c>
    </row>
    <row r="103" spans="1:22" x14ac:dyDescent="0.2">
      <c r="A103" s="47" t="s">
        <v>76</v>
      </c>
      <c r="B103" s="112">
        <v>14.895</v>
      </c>
      <c r="C103" s="112">
        <v>72.507999999999996</v>
      </c>
      <c r="D103" s="112">
        <v>163.54300000000001</v>
      </c>
      <c r="E103" s="112">
        <v>121.998</v>
      </c>
      <c r="F103" s="112">
        <v>63.746000000000002</v>
      </c>
      <c r="G103" s="112">
        <v>0.47300000000000003</v>
      </c>
      <c r="H103" s="122">
        <v>437.16300000000001</v>
      </c>
      <c r="I103" s="112">
        <v>10.592000000000001</v>
      </c>
      <c r="J103" s="112">
        <v>61.116</v>
      </c>
      <c r="K103" s="112">
        <v>97.460999999999999</v>
      </c>
      <c r="L103" s="112">
        <v>115.009</v>
      </c>
      <c r="M103" s="112">
        <v>47.68</v>
      </c>
      <c r="N103" s="112">
        <v>3.8439999999999999</v>
      </c>
      <c r="O103" s="122">
        <v>335.702</v>
      </c>
      <c r="P103" s="112">
        <v>25.487000000000002</v>
      </c>
      <c r="Q103" s="112">
        <v>133.624</v>
      </c>
      <c r="R103" s="112">
        <v>261.00400000000002</v>
      </c>
      <c r="S103" s="112">
        <v>237.00700000000001</v>
      </c>
      <c r="T103" s="112">
        <v>111.426</v>
      </c>
      <c r="U103" s="112">
        <v>4.3170000000000002</v>
      </c>
      <c r="V103" s="112">
        <v>772.86500000000001</v>
      </c>
    </row>
    <row r="104" spans="1:22" x14ac:dyDescent="0.2">
      <c r="A104" s="47" t="s">
        <v>77</v>
      </c>
      <c r="B104" s="112">
        <v>38.006</v>
      </c>
      <c r="C104" s="112">
        <v>199.95499999999998</v>
      </c>
      <c r="D104" s="112">
        <v>466.173</v>
      </c>
      <c r="E104" s="112">
        <v>340.58499999999998</v>
      </c>
      <c r="F104" s="112">
        <v>181.23699999999999</v>
      </c>
      <c r="G104" s="112">
        <v>1.276</v>
      </c>
      <c r="H104" s="122">
        <v>1227.232</v>
      </c>
      <c r="I104" s="112">
        <v>26.972000000000001</v>
      </c>
      <c r="J104" s="112">
        <v>155.185</v>
      </c>
      <c r="K104" s="112">
        <v>248.255</v>
      </c>
      <c r="L104" s="112">
        <v>307.82300000000004</v>
      </c>
      <c r="M104" s="112">
        <v>123.10400000000001</v>
      </c>
      <c r="N104" s="112">
        <v>7.99</v>
      </c>
      <c r="O104" s="122">
        <v>869.32899999999995</v>
      </c>
      <c r="P104" s="112">
        <v>64.978000000000009</v>
      </c>
      <c r="Q104" s="112">
        <v>355.14</v>
      </c>
      <c r="R104" s="112">
        <v>714.428</v>
      </c>
      <c r="S104" s="112">
        <v>648.40800000000002</v>
      </c>
      <c r="T104" s="112">
        <v>304.34100000000001</v>
      </c>
      <c r="U104" s="112">
        <v>9.266</v>
      </c>
      <c r="V104" s="112">
        <v>2096.5609999999997</v>
      </c>
    </row>
    <row r="105" spans="1:22" x14ac:dyDescent="0.2">
      <c r="A105" s="47" t="s">
        <v>78</v>
      </c>
      <c r="B105" s="112">
        <v>10.811999999999999</v>
      </c>
      <c r="C105" s="112">
        <v>56.169000000000004</v>
      </c>
      <c r="D105" s="112">
        <v>160.90100000000001</v>
      </c>
      <c r="E105" s="112">
        <v>111.994</v>
      </c>
      <c r="F105" s="112">
        <v>64.36</v>
      </c>
      <c r="G105" s="112">
        <v>0.255</v>
      </c>
      <c r="H105" s="122">
        <v>404.49099999999999</v>
      </c>
      <c r="I105" s="112">
        <v>10.540000000000001</v>
      </c>
      <c r="J105" s="112">
        <v>52.311999999999998</v>
      </c>
      <c r="K105" s="112">
        <v>102.86</v>
      </c>
      <c r="L105" s="112">
        <v>117.066</v>
      </c>
      <c r="M105" s="112">
        <v>53.500999999999998</v>
      </c>
      <c r="N105" s="112">
        <v>1.792</v>
      </c>
      <c r="O105" s="122">
        <v>338.07100000000003</v>
      </c>
      <c r="P105" s="112">
        <v>21.352</v>
      </c>
      <c r="Q105" s="112">
        <v>108.48099999999999</v>
      </c>
      <c r="R105" s="112">
        <v>263.76100000000002</v>
      </c>
      <c r="S105" s="112">
        <v>229.06</v>
      </c>
      <c r="T105" s="112">
        <v>117.86099999999999</v>
      </c>
      <c r="U105" s="112">
        <v>2.0470000000000002</v>
      </c>
      <c r="V105" s="112">
        <v>742.56200000000001</v>
      </c>
    </row>
    <row r="106" spans="1:22" x14ac:dyDescent="0.2">
      <c r="A106" s="47" t="s">
        <v>79</v>
      </c>
      <c r="B106" s="112">
        <v>10.523</v>
      </c>
      <c r="C106" s="112">
        <v>64.100999999999999</v>
      </c>
      <c r="D106" s="112">
        <v>158.79</v>
      </c>
      <c r="E106" s="112">
        <v>109.818</v>
      </c>
      <c r="F106" s="112">
        <v>65.888999999999996</v>
      </c>
      <c r="G106" s="112">
        <v>0.34900000000000003</v>
      </c>
      <c r="H106" s="122">
        <v>409.47</v>
      </c>
      <c r="I106" s="112">
        <v>11.11</v>
      </c>
      <c r="J106" s="112">
        <v>52.576000000000001</v>
      </c>
      <c r="K106" s="112">
        <v>91.415000000000006</v>
      </c>
      <c r="L106" s="112">
        <v>100.42700000000001</v>
      </c>
      <c r="M106" s="112">
        <v>51.350999999999999</v>
      </c>
      <c r="N106" s="112">
        <v>1.202</v>
      </c>
      <c r="O106" s="122">
        <v>308.08100000000002</v>
      </c>
      <c r="P106" s="112">
        <v>21.632999999999999</v>
      </c>
      <c r="Q106" s="112">
        <v>116.67699999999999</v>
      </c>
      <c r="R106" s="112">
        <v>250.20499999999998</v>
      </c>
      <c r="S106" s="112">
        <v>210.245</v>
      </c>
      <c r="T106" s="112">
        <v>117.24</v>
      </c>
      <c r="U106" s="112">
        <v>1.5509999999999999</v>
      </c>
      <c r="V106" s="112">
        <v>717.55100000000004</v>
      </c>
    </row>
    <row r="107" spans="1:22" x14ac:dyDescent="0.2">
      <c r="A107" s="47" t="s">
        <v>89</v>
      </c>
      <c r="B107" s="112">
        <v>14.101000000000001</v>
      </c>
      <c r="C107" s="112">
        <v>79.39</v>
      </c>
      <c r="D107" s="112">
        <v>155.39600000000002</v>
      </c>
      <c r="E107" s="112">
        <v>119.893</v>
      </c>
      <c r="F107" s="112">
        <v>77.787000000000006</v>
      </c>
      <c r="G107" s="112">
        <v>0.18099999999999999</v>
      </c>
      <c r="H107" s="122">
        <v>446.74799999999999</v>
      </c>
      <c r="I107" s="112">
        <v>13.252000000000001</v>
      </c>
      <c r="J107" s="112">
        <v>66.094999999999999</v>
      </c>
      <c r="K107" s="112">
        <v>103.675</v>
      </c>
      <c r="L107" s="112">
        <v>124.31</v>
      </c>
      <c r="M107" s="112">
        <v>55.224000000000004</v>
      </c>
      <c r="N107" s="112">
        <v>1.367</v>
      </c>
      <c r="O107" s="122">
        <v>363.923</v>
      </c>
      <c r="P107" s="112">
        <v>27.353000000000002</v>
      </c>
      <c r="Q107" s="112">
        <v>145.48500000000001</v>
      </c>
      <c r="R107" s="112">
        <v>259.07100000000003</v>
      </c>
      <c r="S107" s="112">
        <v>244.203</v>
      </c>
      <c r="T107" s="112">
        <v>133.01100000000002</v>
      </c>
      <c r="U107" s="112">
        <v>1.548</v>
      </c>
      <c r="V107" s="112">
        <v>810.67100000000005</v>
      </c>
    </row>
    <row r="108" spans="1:22" x14ac:dyDescent="0.2">
      <c r="A108" s="47" t="s">
        <v>80</v>
      </c>
      <c r="B108" s="112">
        <v>35.436</v>
      </c>
      <c r="C108" s="112">
        <v>199.66000000000003</v>
      </c>
      <c r="D108" s="112">
        <v>475.08700000000005</v>
      </c>
      <c r="E108" s="112">
        <v>341.70500000000004</v>
      </c>
      <c r="F108" s="112">
        <v>208.036</v>
      </c>
      <c r="G108" s="112">
        <v>0.78500000000000014</v>
      </c>
      <c r="H108" s="122">
        <v>1260.7090000000001</v>
      </c>
      <c r="I108" s="112">
        <v>34.902000000000001</v>
      </c>
      <c r="J108" s="112">
        <v>170.983</v>
      </c>
      <c r="K108" s="112">
        <v>297.95</v>
      </c>
      <c r="L108" s="112">
        <v>341.803</v>
      </c>
      <c r="M108" s="112">
        <v>160.07600000000002</v>
      </c>
      <c r="N108" s="112">
        <v>4.3609999999999998</v>
      </c>
      <c r="O108" s="122">
        <v>1010.075</v>
      </c>
      <c r="P108" s="112">
        <v>70.337999999999994</v>
      </c>
      <c r="Q108" s="112">
        <v>370.64300000000003</v>
      </c>
      <c r="R108" s="112">
        <v>773.03700000000003</v>
      </c>
      <c r="S108" s="112">
        <v>683.50800000000004</v>
      </c>
      <c r="T108" s="112">
        <v>368.11200000000002</v>
      </c>
      <c r="U108" s="112">
        <v>5.1459999999999999</v>
      </c>
      <c r="V108" s="112">
        <v>2270.7840000000001</v>
      </c>
    </row>
    <row r="109" spans="1:22" x14ac:dyDescent="0.2">
      <c r="A109" s="47" t="s">
        <v>90</v>
      </c>
      <c r="B109" s="112">
        <v>13.125999999999999</v>
      </c>
      <c r="C109" s="112">
        <v>65.432000000000002</v>
      </c>
      <c r="D109" s="112">
        <v>173.07</v>
      </c>
      <c r="E109" s="112">
        <v>113.22800000000001</v>
      </c>
      <c r="F109" s="112">
        <v>74.36</v>
      </c>
      <c r="G109" s="112">
        <v>2.3E-2</v>
      </c>
      <c r="H109" s="122">
        <v>439.23900000000003</v>
      </c>
      <c r="I109" s="112">
        <v>9.0240000000000009</v>
      </c>
      <c r="J109" s="112">
        <v>54.198999999999998</v>
      </c>
      <c r="K109" s="112">
        <v>90.384</v>
      </c>
      <c r="L109" s="112">
        <v>114.125</v>
      </c>
      <c r="M109" s="112">
        <v>63.755000000000003</v>
      </c>
      <c r="N109" s="112">
        <v>1.524</v>
      </c>
      <c r="O109" s="122">
        <v>355.572</v>
      </c>
      <c r="P109" s="112">
        <v>22.15</v>
      </c>
      <c r="Q109" s="112">
        <v>119.631</v>
      </c>
      <c r="R109" s="112">
        <v>263.45400000000001</v>
      </c>
      <c r="S109" s="112">
        <v>227.35300000000001</v>
      </c>
      <c r="T109" s="112">
        <v>138.11500000000001</v>
      </c>
      <c r="U109" s="112">
        <v>1.5469999999999999</v>
      </c>
      <c r="V109" s="112">
        <v>794.81100000000004</v>
      </c>
    </row>
    <row r="110" spans="1:22" x14ac:dyDescent="0.2">
      <c r="A110" s="47" t="s">
        <v>81</v>
      </c>
      <c r="B110" s="112">
        <v>16.613</v>
      </c>
      <c r="C110" s="112">
        <v>77.867999999999995</v>
      </c>
      <c r="D110" s="112">
        <v>180.505</v>
      </c>
      <c r="E110" s="112">
        <v>118.873</v>
      </c>
      <c r="F110" s="112">
        <v>70.528999999999996</v>
      </c>
      <c r="G110" s="112">
        <v>0.193</v>
      </c>
      <c r="H110" s="122">
        <v>464.58100000000002</v>
      </c>
      <c r="I110" s="112">
        <v>11.789</v>
      </c>
      <c r="J110" s="112">
        <v>65.763999999999996</v>
      </c>
      <c r="K110" s="112">
        <v>98.528999999999996</v>
      </c>
      <c r="L110" s="112">
        <v>121.967</v>
      </c>
      <c r="M110" s="112">
        <v>54.695999999999998</v>
      </c>
      <c r="N110" s="112">
        <v>2.827</v>
      </c>
      <c r="O110" s="122">
        <v>531.43700000000001</v>
      </c>
      <c r="P110" s="112">
        <v>28.402000000000001</v>
      </c>
      <c r="Q110" s="112">
        <v>143.63200000000001</v>
      </c>
      <c r="R110" s="112">
        <v>279.03399999999999</v>
      </c>
      <c r="S110" s="112">
        <v>240.84</v>
      </c>
      <c r="T110" s="112">
        <v>125.22499999999999</v>
      </c>
      <c r="U110" s="112">
        <v>3.02</v>
      </c>
      <c r="V110" s="112">
        <v>996.01800000000003</v>
      </c>
    </row>
    <row r="111" spans="1:22" x14ac:dyDescent="0.2">
      <c r="A111" s="47" t="s">
        <v>82</v>
      </c>
      <c r="B111" s="112">
        <v>12.4</v>
      </c>
      <c r="C111" s="112">
        <v>66.587000000000003</v>
      </c>
      <c r="D111" s="112">
        <v>191.989</v>
      </c>
      <c r="E111" s="112">
        <v>131.167</v>
      </c>
      <c r="F111" s="112">
        <v>78.247</v>
      </c>
      <c r="G111" s="112">
        <v>0.96799999999999997</v>
      </c>
      <c r="H111" s="122">
        <v>481.358</v>
      </c>
      <c r="I111" s="112">
        <v>8.891</v>
      </c>
      <c r="J111" s="112">
        <v>53.742000000000004</v>
      </c>
      <c r="K111" s="112">
        <v>292.26100000000002</v>
      </c>
      <c r="L111" s="112">
        <v>109.268</v>
      </c>
      <c r="M111" s="112">
        <v>66.257000000000005</v>
      </c>
      <c r="N111" s="112">
        <v>1.018</v>
      </c>
      <c r="O111" s="122">
        <v>358.38600000000002</v>
      </c>
      <c r="P111" s="112">
        <v>21.291</v>
      </c>
      <c r="Q111" s="112">
        <v>120.32900000000001</v>
      </c>
      <c r="R111" s="112">
        <v>484.25</v>
      </c>
      <c r="S111" s="112">
        <v>240.435</v>
      </c>
      <c r="T111" s="112">
        <v>144.50400000000002</v>
      </c>
      <c r="U111" s="112">
        <v>1.986</v>
      </c>
      <c r="V111" s="112">
        <v>839.74400000000003</v>
      </c>
    </row>
    <row r="112" spans="1:22" x14ac:dyDescent="0.2">
      <c r="A112" s="47" t="s">
        <v>83</v>
      </c>
      <c r="B112" s="112">
        <v>42.138999999999996</v>
      </c>
      <c r="C112" s="112">
        <v>209.887</v>
      </c>
      <c r="D112" s="112">
        <v>545.56399999999996</v>
      </c>
      <c r="E112" s="112">
        <v>363.26800000000003</v>
      </c>
      <c r="F112" s="112">
        <v>223.13600000000002</v>
      </c>
      <c r="G112" s="112">
        <v>1.1839999999999999</v>
      </c>
      <c r="H112" s="122">
        <v>1385.1780000000001</v>
      </c>
      <c r="I112" s="112">
        <v>29.704000000000001</v>
      </c>
      <c r="J112" s="112">
        <v>173.70499999999998</v>
      </c>
      <c r="K112" s="112">
        <v>481.17400000000004</v>
      </c>
      <c r="L112" s="112">
        <v>345.36</v>
      </c>
      <c r="M112" s="112">
        <v>184.708</v>
      </c>
      <c r="N112" s="112">
        <v>5.3689999999999998</v>
      </c>
      <c r="O112" s="122">
        <v>1245.395</v>
      </c>
      <c r="P112" s="112">
        <v>71.843000000000004</v>
      </c>
      <c r="Q112" s="112">
        <v>383.59200000000004</v>
      </c>
      <c r="R112" s="112">
        <v>1026.7380000000001</v>
      </c>
      <c r="S112" s="112">
        <v>708.62799999999993</v>
      </c>
      <c r="T112" s="112">
        <v>407.84400000000005</v>
      </c>
      <c r="U112" s="112">
        <v>6.5529999999999999</v>
      </c>
      <c r="V112" s="112">
        <v>2630.5730000000003</v>
      </c>
    </row>
    <row r="113" spans="1:22" x14ac:dyDescent="0.2">
      <c r="A113" s="47" t="s">
        <v>85</v>
      </c>
      <c r="B113" s="112">
        <v>12.686999999999999</v>
      </c>
      <c r="C113" s="112">
        <v>58.045000000000002</v>
      </c>
      <c r="D113" s="112">
        <v>74.838999999999999</v>
      </c>
      <c r="E113" s="112">
        <v>104.54300000000001</v>
      </c>
      <c r="F113" s="112">
        <v>71.242000000000004</v>
      </c>
      <c r="G113" s="112">
        <v>0.48399999999999999</v>
      </c>
      <c r="H113" s="122">
        <v>321.84000000000003</v>
      </c>
      <c r="I113" s="112">
        <v>16.055</v>
      </c>
      <c r="J113" s="112">
        <v>57.896000000000001</v>
      </c>
      <c r="K113" s="112">
        <v>80.981000000000009</v>
      </c>
      <c r="L113" s="112">
        <v>133.202</v>
      </c>
      <c r="M113" s="112">
        <v>68.099999999999994</v>
      </c>
      <c r="N113" s="112">
        <v>2.1520000000000001</v>
      </c>
      <c r="O113" s="122">
        <v>358.38600000000002</v>
      </c>
      <c r="P113" s="112">
        <v>28.741999999999997</v>
      </c>
      <c r="Q113" s="112">
        <v>115.941</v>
      </c>
      <c r="R113" s="112">
        <v>155.82</v>
      </c>
      <c r="S113" s="112">
        <v>237.745</v>
      </c>
      <c r="T113" s="112">
        <v>139.34199999999998</v>
      </c>
      <c r="U113" s="112">
        <v>2.6360000000000001</v>
      </c>
      <c r="V113" s="112">
        <v>680.22600000000011</v>
      </c>
    </row>
    <row r="114" spans="1:22" x14ac:dyDescent="0.2">
      <c r="A114" s="47" t="s">
        <v>86</v>
      </c>
      <c r="B114" s="112">
        <v>16.670000000000002</v>
      </c>
      <c r="C114" s="112">
        <v>73.16</v>
      </c>
      <c r="D114" s="112">
        <v>86.3</v>
      </c>
      <c r="E114" s="112">
        <v>106.54300000000001</v>
      </c>
      <c r="F114" s="112">
        <v>56.600999999999999</v>
      </c>
      <c r="G114" s="112">
        <v>0.255</v>
      </c>
      <c r="H114" s="122">
        <v>339.529</v>
      </c>
      <c r="I114" s="112">
        <v>11.817</v>
      </c>
      <c r="J114" s="112">
        <v>62.253</v>
      </c>
      <c r="K114" s="112">
        <v>110.55500000000001</v>
      </c>
      <c r="L114" s="112">
        <v>117.163</v>
      </c>
      <c r="M114" s="112">
        <v>58.864000000000004</v>
      </c>
      <c r="N114" s="112">
        <v>2.4540000000000002</v>
      </c>
      <c r="O114" s="122">
        <v>363.10599999999999</v>
      </c>
      <c r="P114" s="112">
        <v>28.487000000000002</v>
      </c>
      <c r="Q114" s="112">
        <v>135.41300000000001</v>
      </c>
      <c r="R114" s="112">
        <v>196.85500000000002</v>
      </c>
      <c r="S114" s="112">
        <v>223.70600000000002</v>
      </c>
      <c r="T114" s="112">
        <v>115.465</v>
      </c>
      <c r="U114" s="112">
        <v>2.7090000000000001</v>
      </c>
      <c r="V114" s="112">
        <v>702.63499999999999</v>
      </c>
    </row>
    <row r="115" spans="1:22" x14ac:dyDescent="0.2">
      <c r="A115" s="47" t="s">
        <v>87</v>
      </c>
      <c r="B115" s="112">
        <v>13.539</v>
      </c>
      <c r="C115" s="112">
        <v>57.856000000000002</v>
      </c>
      <c r="D115" s="112">
        <v>121.84700000000001</v>
      </c>
      <c r="E115" s="112">
        <v>101.696</v>
      </c>
      <c r="F115" s="112">
        <v>56.119</v>
      </c>
      <c r="G115" s="112">
        <v>0.16900000000000001</v>
      </c>
      <c r="H115" s="122">
        <v>351.226</v>
      </c>
      <c r="I115" s="112">
        <v>8.4320000000000004</v>
      </c>
      <c r="J115" s="112">
        <v>47.817999999999998</v>
      </c>
      <c r="K115" s="112">
        <v>135.03399999999999</v>
      </c>
      <c r="L115" s="112">
        <v>111.71900000000001</v>
      </c>
      <c r="M115" s="112">
        <v>62.003999999999998</v>
      </c>
      <c r="N115" s="112">
        <v>3.036</v>
      </c>
      <c r="O115" s="122">
        <v>368.04300000000001</v>
      </c>
      <c r="P115" s="112">
        <v>21.971</v>
      </c>
      <c r="Q115" s="112">
        <v>105.67400000000001</v>
      </c>
      <c r="R115" s="112">
        <v>256.88099999999997</v>
      </c>
      <c r="S115" s="112">
        <v>213.41500000000002</v>
      </c>
      <c r="T115" s="112">
        <v>118.12299999999999</v>
      </c>
      <c r="U115" s="112">
        <v>3.2050000000000001</v>
      </c>
      <c r="V115" s="112">
        <v>719.26900000000001</v>
      </c>
    </row>
    <row r="116" spans="1:22" x14ac:dyDescent="0.2">
      <c r="A116" s="47" t="s">
        <v>84</v>
      </c>
      <c r="B116" s="112">
        <v>42.896000000000001</v>
      </c>
      <c r="C116" s="112">
        <v>189.06099999999998</v>
      </c>
      <c r="D116" s="112">
        <v>282.98599999999999</v>
      </c>
      <c r="E116" s="112">
        <v>312.78200000000004</v>
      </c>
      <c r="F116" s="112">
        <v>183.96199999999999</v>
      </c>
      <c r="G116" s="112">
        <v>0.90800000000000003</v>
      </c>
      <c r="H116" s="122">
        <v>1012.595</v>
      </c>
      <c r="I116" s="112">
        <v>36.304000000000002</v>
      </c>
      <c r="J116" s="112">
        <v>167.96699999999998</v>
      </c>
      <c r="K116" s="112">
        <v>326.57</v>
      </c>
      <c r="L116" s="112">
        <v>362.084</v>
      </c>
      <c r="M116" s="112">
        <v>188.96799999999999</v>
      </c>
      <c r="N116" s="112">
        <v>7.6419999999999995</v>
      </c>
      <c r="O116" s="122">
        <v>1089.5349999999999</v>
      </c>
      <c r="P116" s="112">
        <v>79.2</v>
      </c>
      <c r="Q116" s="112">
        <v>357.02800000000002</v>
      </c>
      <c r="R116" s="112">
        <v>609.55600000000004</v>
      </c>
      <c r="S116" s="112">
        <v>674.86599999999999</v>
      </c>
      <c r="T116" s="112">
        <v>372.92999999999995</v>
      </c>
      <c r="U116" s="112">
        <v>8.5500000000000007</v>
      </c>
      <c r="V116" s="112">
        <v>2102.13</v>
      </c>
    </row>
    <row r="117" spans="1:22" x14ac:dyDescent="0.2">
      <c r="A117" s="123"/>
      <c r="B117" s="112"/>
      <c r="C117" s="112"/>
      <c r="D117" s="112"/>
      <c r="E117" s="112"/>
      <c r="F117" s="112"/>
      <c r="G117" s="112"/>
      <c r="H117" s="122"/>
      <c r="I117" s="112"/>
      <c r="J117" s="112"/>
      <c r="K117" s="112"/>
      <c r="L117" s="112"/>
      <c r="M117" s="112"/>
      <c r="N117" s="112"/>
      <c r="O117" s="122"/>
      <c r="P117" s="112"/>
      <c r="Q117" s="112"/>
      <c r="R117" s="112"/>
      <c r="S117" s="112"/>
      <c r="T117" s="112"/>
      <c r="U117" s="112"/>
      <c r="V117" s="112"/>
    </row>
    <row r="118" spans="1:22" x14ac:dyDescent="0.2">
      <c r="A118" s="123">
        <v>2004</v>
      </c>
      <c r="B118" s="112"/>
      <c r="C118" s="112"/>
      <c r="D118" s="112"/>
      <c r="E118" s="112"/>
      <c r="F118" s="112"/>
      <c r="G118" s="112"/>
      <c r="H118" s="122"/>
      <c r="I118" s="112"/>
      <c r="J118" s="112"/>
      <c r="K118" s="112"/>
      <c r="L118" s="112"/>
      <c r="M118" s="112"/>
      <c r="N118" s="112"/>
      <c r="O118" s="122"/>
      <c r="P118" s="112"/>
      <c r="Q118" s="112"/>
      <c r="R118" s="112"/>
      <c r="S118" s="112"/>
      <c r="T118" s="112"/>
      <c r="U118" s="112"/>
      <c r="V118" s="112"/>
    </row>
    <row r="119" spans="1:22" x14ac:dyDescent="0.2">
      <c r="A119" s="47" t="s">
        <v>74</v>
      </c>
      <c r="B119" s="112">
        <v>10.218</v>
      </c>
      <c r="C119" s="112">
        <v>58.746000000000002</v>
      </c>
      <c r="D119" s="112">
        <v>160.80700000000002</v>
      </c>
      <c r="E119" s="112">
        <v>109.06400000000001</v>
      </c>
      <c r="F119" s="112">
        <v>55.027000000000001</v>
      </c>
      <c r="G119" s="112">
        <v>0.317</v>
      </c>
      <c r="H119" s="122">
        <v>394.17900000000003</v>
      </c>
      <c r="I119" s="112">
        <v>7.1930000000000005</v>
      </c>
      <c r="J119" s="112">
        <v>49.323</v>
      </c>
      <c r="K119" s="112">
        <v>76.620999999999995</v>
      </c>
      <c r="L119" s="112">
        <v>93.606000000000009</v>
      </c>
      <c r="M119" s="112">
        <v>40.829000000000001</v>
      </c>
      <c r="N119" s="112">
        <v>4.0529999999999999</v>
      </c>
      <c r="O119" s="122">
        <v>271.625</v>
      </c>
      <c r="P119" s="112">
        <v>17.411000000000001</v>
      </c>
      <c r="Q119" s="112">
        <v>108.069</v>
      </c>
      <c r="R119" s="112">
        <v>237.428</v>
      </c>
      <c r="S119" s="112">
        <v>202.67000000000002</v>
      </c>
      <c r="T119" s="112">
        <v>95.855999999999995</v>
      </c>
      <c r="U119" s="112">
        <v>4.37</v>
      </c>
      <c r="V119" s="112">
        <v>665.80400000000009</v>
      </c>
    </row>
    <row r="120" spans="1:22" x14ac:dyDescent="0.2">
      <c r="A120" s="47" t="s">
        <v>75</v>
      </c>
      <c r="B120" s="112">
        <v>12.416</v>
      </c>
      <c r="C120" s="112">
        <v>66.674999999999997</v>
      </c>
      <c r="D120" s="112">
        <v>162.089</v>
      </c>
      <c r="E120" s="112">
        <v>117.99600000000001</v>
      </c>
      <c r="F120" s="112">
        <v>56.670999999999999</v>
      </c>
      <c r="G120" s="112">
        <v>0.313</v>
      </c>
      <c r="H120" s="122">
        <v>416.16</v>
      </c>
      <c r="I120" s="112">
        <v>8.7989999999999995</v>
      </c>
      <c r="J120" s="112">
        <v>56.109000000000002</v>
      </c>
      <c r="K120" s="112">
        <v>78.227000000000004</v>
      </c>
      <c r="L120" s="112">
        <v>112.581</v>
      </c>
      <c r="M120" s="112">
        <v>45.118000000000002</v>
      </c>
      <c r="N120" s="112">
        <v>4.7279999999999998</v>
      </c>
      <c r="O120" s="122">
        <v>305.56200000000001</v>
      </c>
      <c r="P120" s="112">
        <v>21.215</v>
      </c>
      <c r="Q120" s="112">
        <v>122.78399999999999</v>
      </c>
      <c r="R120" s="112">
        <v>240.316</v>
      </c>
      <c r="S120" s="112">
        <v>230.577</v>
      </c>
      <c r="T120" s="112">
        <v>101.789</v>
      </c>
      <c r="U120" s="112">
        <v>5.0409999999999995</v>
      </c>
      <c r="V120" s="112">
        <v>721.72199999999998</v>
      </c>
    </row>
    <row r="121" spans="1:22" x14ac:dyDescent="0.2">
      <c r="A121" s="47" t="s">
        <v>76</v>
      </c>
      <c r="B121" s="112">
        <v>12.011000000000001</v>
      </c>
      <c r="C121" s="112">
        <v>63.76</v>
      </c>
      <c r="D121" s="112">
        <v>169.16800000000001</v>
      </c>
      <c r="E121" s="112">
        <v>119.262</v>
      </c>
      <c r="F121" s="112">
        <v>68.587000000000003</v>
      </c>
      <c r="G121" s="112">
        <v>0.53300000000000003</v>
      </c>
      <c r="H121" s="122">
        <v>433.32100000000003</v>
      </c>
      <c r="I121" s="112">
        <v>8.370000000000001</v>
      </c>
      <c r="J121" s="112">
        <v>53.109000000000002</v>
      </c>
      <c r="K121" s="112">
        <v>95.891000000000005</v>
      </c>
      <c r="L121" s="112">
        <v>123.57300000000001</v>
      </c>
      <c r="M121" s="112">
        <v>52.012999999999998</v>
      </c>
      <c r="N121" s="112">
        <v>3.3780000000000001</v>
      </c>
      <c r="O121" s="122">
        <v>336.334</v>
      </c>
      <c r="P121" s="112">
        <v>20.381</v>
      </c>
      <c r="Q121" s="112">
        <v>116.869</v>
      </c>
      <c r="R121" s="112">
        <v>265.05900000000003</v>
      </c>
      <c r="S121" s="112">
        <v>242.83500000000001</v>
      </c>
      <c r="T121" s="112">
        <v>120.6</v>
      </c>
      <c r="U121" s="112">
        <v>3.911</v>
      </c>
      <c r="V121" s="112">
        <v>769.65499999999997</v>
      </c>
    </row>
    <row r="122" spans="1:22" x14ac:dyDescent="0.2">
      <c r="A122" s="47" t="s">
        <v>77</v>
      </c>
      <c r="B122" s="112">
        <v>34.645000000000003</v>
      </c>
      <c r="C122" s="112">
        <v>189.18099999999998</v>
      </c>
      <c r="D122" s="112">
        <v>492.06400000000002</v>
      </c>
      <c r="E122" s="112">
        <v>346.322</v>
      </c>
      <c r="F122" s="112">
        <v>180.28500000000003</v>
      </c>
      <c r="G122" s="112">
        <v>1.163</v>
      </c>
      <c r="H122" s="122">
        <v>1243.6600000000001</v>
      </c>
      <c r="I122" s="112">
        <v>24.362000000000002</v>
      </c>
      <c r="J122" s="112">
        <v>158.541</v>
      </c>
      <c r="K122" s="112">
        <v>250.73900000000003</v>
      </c>
      <c r="L122" s="112">
        <v>329.76</v>
      </c>
      <c r="M122" s="112">
        <v>137.96</v>
      </c>
      <c r="N122" s="112">
        <v>12.158999999999999</v>
      </c>
      <c r="O122" s="122">
        <v>913.52099999999996</v>
      </c>
      <c r="P122" s="112">
        <v>59.007000000000005</v>
      </c>
      <c r="Q122" s="112">
        <v>347.72199999999998</v>
      </c>
      <c r="R122" s="112">
        <v>742.80300000000011</v>
      </c>
      <c r="S122" s="112">
        <v>676.08199999999999</v>
      </c>
      <c r="T122" s="112">
        <v>318.245</v>
      </c>
      <c r="U122" s="112">
        <v>13.321999999999999</v>
      </c>
      <c r="V122" s="112">
        <v>2157.181</v>
      </c>
    </row>
    <row r="123" spans="1:22" x14ac:dyDescent="0.2">
      <c r="A123" s="47" t="s">
        <v>78</v>
      </c>
      <c r="B123" s="112">
        <v>11.986000000000001</v>
      </c>
      <c r="C123" s="112">
        <v>61.317</v>
      </c>
      <c r="D123" s="112">
        <v>177.923</v>
      </c>
      <c r="E123" s="112">
        <v>113.215</v>
      </c>
      <c r="F123" s="112">
        <v>70.531999999999996</v>
      </c>
      <c r="G123" s="112">
        <v>0.12</v>
      </c>
      <c r="H123" s="122">
        <v>435.09300000000002</v>
      </c>
      <c r="I123" s="112">
        <v>7.9950000000000001</v>
      </c>
      <c r="J123" s="112">
        <v>46.719000000000001</v>
      </c>
      <c r="K123" s="112">
        <v>85.81</v>
      </c>
      <c r="L123" s="112">
        <v>102.827</v>
      </c>
      <c r="M123" s="112">
        <v>58.344999999999999</v>
      </c>
      <c r="N123" s="112">
        <v>1.4450000000000001</v>
      </c>
      <c r="O123" s="122">
        <v>303.14100000000002</v>
      </c>
      <c r="P123" s="112">
        <v>19.981000000000002</v>
      </c>
      <c r="Q123" s="112">
        <v>108.036</v>
      </c>
      <c r="R123" s="112">
        <v>263.733</v>
      </c>
      <c r="S123" s="112">
        <v>216.042</v>
      </c>
      <c r="T123" s="112">
        <v>128.87700000000001</v>
      </c>
      <c r="U123" s="112">
        <v>1.5649999999999999</v>
      </c>
      <c r="V123" s="112">
        <v>738.23400000000004</v>
      </c>
    </row>
    <row r="124" spans="1:22" x14ac:dyDescent="0.2">
      <c r="A124" s="47" t="s">
        <v>79</v>
      </c>
      <c r="B124" s="112">
        <v>15.347</v>
      </c>
      <c r="C124" s="112">
        <v>69.471000000000004</v>
      </c>
      <c r="D124" s="112">
        <v>160.05100000000002</v>
      </c>
      <c r="E124" s="112">
        <v>115.905</v>
      </c>
      <c r="F124" s="112">
        <v>64.436999999999998</v>
      </c>
      <c r="G124" s="112">
        <v>0.33900000000000002</v>
      </c>
      <c r="H124" s="122">
        <v>425.55</v>
      </c>
      <c r="I124" s="112">
        <v>10.068</v>
      </c>
      <c r="J124" s="112">
        <v>62.561</v>
      </c>
      <c r="K124" s="112">
        <v>85.859000000000009</v>
      </c>
      <c r="L124" s="112">
        <v>81.468000000000004</v>
      </c>
      <c r="M124" s="112">
        <v>51.383000000000003</v>
      </c>
      <c r="N124" s="112">
        <v>2.7930000000000001</v>
      </c>
      <c r="O124" s="122">
        <v>294.13200000000001</v>
      </c>
      <c r="P124" s="112">
        <v>25.414999999999999</v>
      </c>
      <c r="Q124" s="112">
        <v>132.03200000000001</v>
      </c>
      <c r="R124" s="112">
        <v>245.91000000000003</v>
      </c>
      <c r="S124" s="112">
        <v>197.37299999999999</v>
      </c>
      <c r="T124" s="112">
        <v>115.82</v>
      </c>
      <c r="U124" s="112">
        <v>3.1320000000000001</v>
      </c>
      <c r="V124" s="112">
        <v>719.68200000000002</v>
      </c>
    </row>
    <row r="125" spans="1:22" x14ac:dyDescent="0.2">
      <c r="A125" s="47" t="s">
        <v>89</v>
      </c>
      <c r="B125" s="112">
        <v>15.749000000000001</v>
      </c>
      <c r="C125" s="112">
        <v>66.733999999999995</v>
      </c>
      <c r="D125" s="112">
        <v>181.30100000000002</v>
      </c>
      <c r="E125" s="112">
        <v>119.05500000000001</v>
      </c>
      <c r="F125" s="112">
        <v>80.076000000000008</v>
      </c>
      <c r="G125" s="112">
        <v>9.6000000000000002E-2</v>
      </c>
      <c r="H125" s="122">
        <v>463.01100000000002</v>
      </c>
      <c r="I125" s="112">
        <v>8.3620000000000001</v>
      </c>
      <c r="J125" s="112">
        <v>52.762</v>
      </c>
      <c r="K125" s="112">
        <v>96.777000000000001</v>
      </c>
      <c r="L125" s="112">
        <v>121.89400000000001</v>
      </c>
      <c r="M125" s="112">
        <v>58.5</v>
      </c>
      <c r="N125" s="112">
        <v>3.133</v>
      </c>
      <c r="O125" s="122">
        <v>341.428</v>
      </c>
      <c r="P125" s="112">
        <v>24.111000000000001</v>
      </c>
      <c r="Q125" s="112">
        <v>119.496</v>
      </c>
      <c r="R125" s="112">
        <v>278.07800000000003</v>
      </c>
      <c r="S125" s="112">
        <v>240.94900000000001</v>
      </c>
      <c r="T125" s="112">
        <v>138.57600000000002</v>
      </c>
      <c r="U125" s="112">
        <v>3.2290000000000001</v>
      </c>
      <c r="V125" s="112">
        <v>804.43900000000008</v>
      </c>
    </row>
    <row r="126" spans="1:22" x14ac:dyDescent="0.2">
      <c r="A126" s="47" t="s">
        <v>80</v>
      </c>
      <c r="B126" s="112">
        <v>43.082000000000001</v>
      </c>
      <c r="C126" s="112">
        <v>197.52199999999999</v>
      </c>
      <c r="D126" s="112">
        <v>519.27500000000009</v>
      </c>
      <c r="E126" s="112">
        <v>348.17500000000001</v>
      </c>
      <c r="F126" s="112">
        <v>215.04500000000002</v>
      </c>
      <c r="G126" s="112">
        <v>0.55500000000000005</v>
      </c>
      <c r="H126" s="122">
        <v>1323.654</v>
      </c>
      <c r="I126" s="112">
        <v>26.424999999999997</v>
      </c>
      <c r="J126" s="112">
        <v>162.042</v>
      </c>
      <c r="K126" s="112">
        <v>268.44600000000003</v>
      </c>
      <c r="L126" s="112">
        <v>306.18900000000002</v>
      </c>
      <c r="M126" s="112">
        <v>168.22800000000001</v>
      </c>
      <c r="N126" s="112">
        <v>7.3710000000000004</v>
      </c>
      <c r="O126" s="122">
        <v>938.70100000000002</v>
      </c>
      <c r="P126" s="112">
        <v>69.507000000000005</v>
      </c>
      <c r="Q126" s="112">
        <v>359.56399999999996</v>
      </c>
      <c r="R126" s="112">
        <v>787.72100000000012</v>
      </c>
      <c r="S126" s="112">
        <v>654.36400000000003</v>
      </c>
      <c r="T126" s="112">
        <v>383.27300000000002</v>
      </c>
      <c r="U126" s="112">
        <v>7.9260000000000002</v>
      </c>
      <c r="V126" s="112">
        <v>2262.355</v>
      </c>
    </row>
    <row r="127" spans="1:22" x14ac:dyDescent="0.2">
      <c r="A127" s="47" t="s">
        <v>90</v>
      </c>
      <c r="B127" s="112">
        <v>13.425000000000001</v>
      </c>
      <c r="C127" s="112">
        <v>64.97</v>
      </c>
      <c r="D127" s="112">
        <v>185.37</v>
      </c>
      <c r="E127" s="112">
        <v>115.095</v>
      </c>
      <c r="F127" s="112">
        <v>74</v>
      </c>
      <c r="G127" s="112">
        <v>7.2000000000000008E-2</v>
      </c>
      <c r="H127" s="122">
        <v>452.93200000000002</v>
      </c>
      <c r="I127" s="112">
        <v>8.1240000000000006</v>
      </c>
      <c r="J127" s="112">
        <v>56.908999999999999</v>
      </c>
      <c r="K127" s="112">
        <v>83.932000000000002</v>
      </c>
      <c r="L127" s="112">
        <v>107.242</v>
      </c>
      <c r="M127" s="112">
        <v>60.555</v>
      </c>
      <c r="N127" s="112">
        <v>3.1419999999999999</v>
      </c>
      <c r="O127" s="122">
        <v>319.904</v>
      </c>
      <c r="P127" s="112">
        <v>21.548999999999999</v>
      </c>
      <c r="Q127" s="112">
        <v>121.87899999999999</v>
      </c>
      <c r="R127" s="112">
        <v>269.30200000000002</v>
      </c>
      <c r="S127" s="112">
        <v>222.33699999999999</v>
      </c>
      <c r="T127" s="112">
        <v>134.55500000000001</v>
      </c>
      <c r="U127" s="112">
        <v>3.214</v>
      </c>
      <c r="V127" s="112">
        <v>772.83600000000001</v>
      </c>
    </row>
    <row r="128" spans="1:22" x14ac:dyDescent="0.2">
      <c r="A128" s="47" t="s">
        <v>81</v>
      </c>
      <c r="B128" s="112">
        <v>14.041</v>
      </c>
      <c r="C128" s="112">
        <v>72.238</v>
      </c>
      <c r="D128" s="112">
        <v>198.07900000000001</v>
      </c>
      <c r="E128" s="112">
        <v>128.476</v>
      </c>
      <c r="F128" s="112">
        <v>77.841999999999999</v>
      </c>
      <c r="G128" s="112">
        <v>6.9000000000000006E-2</v>
      </c>
      <c r="H128" s="122">
        <v>490.745</v>
      </c>
      <c r="I128" s="112">
        <v>9.7379999999999995</v>
      </c>
      <c r="J128" s="112">
        <v>56.56</v>
      </c>
      <c r="K128" s="112">
        <v>100.69500000000001</v>
      </c>
      <c r="L128" s="112">
        <v>122.10900000000001</v>
      </c>
      <c r="M128" s="112">
        <v>57.594999999999999</v>
      </c>
      <c r="N128" s="112">
        <v>2.9380000000000002</v>
      </c>
      <c r="O128" s="122">
        <v>349.63499999999999</v>
      </c>
      <c r="P128" s="112">
        <v>23.779</v>
      </c>
      <c r="Q128" s="112">
        <v>128.798</v>
      </c>
      <c r="R128" s="112">
        <v>298.774</v>
      </c>
      <c r="S128" s="112">
        <v>250.58500000000001</v>
      </c>
      <c r="T128" s="112">
        <v>135.43700000000001</v>
      </c>
      <c r="U128" s="112">
        <v>3.0070000000000001</v>
      </c>
      <c r="V128" s="112">
        <v>840.38</v>
      </c>
    </row>
    <row r="129" spans="1:22" x14ac:dyDescent="0.2">
      <c r="A129" s="47" t="s">
        <v>82</v>
      </c>
      <c r="B129" s="112">
        <v>13.200000000000001</v>
      </c>
      <c r="C129" s="112">
        <v>59.438000000000002</v>
      </c>
      <c r="D129" s="112">
        <v>165.06399999999999</v>
      </c>
      <c r="E129" s="112">
        <v>111.148</v>
      </c>
      <c r="F129" s="112">
        <v>84.195000000000007</v>
      </c>
      <c r="G129" s="112">
        <v>0.24099999999999999</v>
      </c>
      <c r="H129" s="122">
        <v>433.286</v>
      </c>
      <c r="I129" s="112">
        <v>7.8010000000000002</v>
      </c>
      <c r="J129" s="112">
        <v>47.914000000000001</v>
      </c>
      <c r="K129" s="112">
        <v>244.071</v>
      </c>
      <c r="L129" s="112">
        <v>115.37100000000001</v>
      </c>
      <c r="M129" s="112">
        <v>59.001000000000005</v>
      </c>
      <c r="N129" s="112">
        <v>1.2989999999999999</v>
      </c>
      <c r="O129" s="122">
        <v>475.45699999999999</v>
      </c>
      <c r="P129" s="112">
        <v>21.001000000000001</v>
      </c>
      <c r="Q129" s="112">
        <v>107.352</v>
      </c>
      <c r="R129" s="112">
        <v>409.13499999999999</v>
      </c>
      <c r="S129" s="112">
        <v>226.51900000000001</v>
      </c>
      <c r="T129" s="112">
        <v>143.19600000000003</v>
      </c>
      <c r="U129" s="112">
        <v>1.54</v>
      </c>
      <c r="V129" s="112">
        <v>908.74299999999994</v>
      </c>
    </row>
    <row r="130" spans="1:22" x14ac:dyDescent="0.2">
      <c r="A130" s="47" t="s">
        <v>83</v>
      </c>
      <c r="B130" s="112">
        <v>40.666000000000004</v>
      </c>
      <c r="C130" s="112">
        <v>196.64600000000002</v>
      </c>
      <c r="D130" s="112">
        <v>548.51300000000003</v>
      </c>
      <c r="E130" s="112">
        <v>354.71899999999999</v>
      </c>
      <c r="F130" s="112">
        <v>236.03699999999998</v>
      </c>
      <c r="G130" s="112">
        <v>0.38200000000000001</v>
      </c>
      <c r="H130" s="122">
        <v>1376.963</v>
      </c>
      <c r="I130" s="112">
        <v>25.663000000000004</v>
      </c>
      <c r="J130" s="112">
        <v>161.38299999999998</v>
      </c>
      <c r="K130" s="112">
        <v>428.69799999999998</v>
      </c>
      <c r="L130" s="112">
        <v>344.72199999999998</v>
      </c>
      <c r="M130" s="112">
        <v>177.15100000000001</v>
      </c>
      <c r="N130" s="112">
        <v>7.3789999999999996</v>
      </c>
      <c r="O130" s="122">
        <v>1144.9960000000001</v>
      </c>
      <c r="P130" s="112">
        <v>66.329000000000008</v>
      </c>
      <c r="Q130" s="112">
        <v>358.029</v>
      </c>
      <c r="R130" s="112">
        <v>977.21100000000001</v>
      </c>
      <c r="S130" s="112">
        <v>699.44100000000003</v>
      </c>
      <c r="T130" s="112">
        <v>413.18799999999999</v>
      </c>
      <c r="U130" s="112">
        <v>7.7609999999999992</v>
      </c>
      <c r="V130" s="112">
        <v>2521.9589999999998</v>
      </c>
    </row>
    <row r="131" spans="1:22" x14ac:dyDescent="0.2">
      <c r="A131" s="47" t="s">
        <v>85</v>
      </c>
      <c r="B131" s="112">
        <v>18.879000000000001</v>
      </c>
      <c r="C131" s="112">
        <v>86.584000000000003</v>
      </c>
      <c r="D131" s="112">
        <v>178.01300000000001</v>
      </c>
      <c r="E131" s="112">
        <v>129.11199999999999</v>
      </c>
      <c r="F131" s="112">
        <v>77.171999999999997</v>
      </c>
      <c r="G131" s="112">
        <v>0.33500000000000002</v>
      </c>
      <c r="H131" s="122">
        <v>490.09199999999998</v>
      </c>
      <c r="I131" s="112">
        <v>11.904999999999999</v>
      </c>
      <c r="J131" s="112">
        <v>74.317999999999998</v>
      </c>
      <c r="K131" s="112">
        <v>120.851</v>
      </c>
      <c r="L131" s="112">
        <v>133.208</v>
      </c>
      <c r="M131" s="112">
        <v>63.852000000000004</v>
      </c>
      <c r="N131" s="112">
        <v>3.927</v>
      </c>
      <c r="O131" s="122">
        <v>408.06</v>
      </c>
      <c r="P131" s="112">
        <v>30.783999999999999</v>
      </c>
      <c r="Q131" s="112">
        <v>160.90199999999999</v>
      </c>
      <c r="R131" s="112">
        <v>298.86400000000003</v>
      </c>
      <c r="S131" s="112">
        <v>262.32</v>
      </c>
      <c r="T131" s="112">
        <v>141.024</v>
      </c>
      <c r="U131" s="112">
        <v>4.2620000000000005</v>
      </c>
      <c r="V131" s="112">
        <v>898.15200000000004</v>
      </c>
    </row>
    <row r="132" spans="1:22" x14ac:dyDescent="0.2">
      <c r="A132" s="47" t="s">
        <v>86</v>
      </c>
      <c r="B132" s="112">
        <v>15.834</v>
      </c>
      <c r="C132" s="112">
        <v>67.02</v>
      </c>
      <c r="D132" s="112">
        <v>155.80500000000001</v>
      </c>
      <c r="E132" s="112">
        <v>116.604</v>
      </c>
      <c r="F132" s="112">
        <v>77.091999999999999</v>
      </c>
      <c r="G132" s="112">
        <v>0.33400000000000002</v>
      </c>
      <c r="H132" s="122">
        <v>432.69100000000003</v>
      </c>
      <c r="I132" s="112">
        <v>9.5150000000000006</v>
      </c>
      <c r="J132" s="112">
        <v>55.158000000000001</v>
      </c>
      <c r="K132" s="112">
        <v>92.231999999999999</v>
      </c>
      <c r="L132" s="112">
        <v>133.63200000000001</v>
      </c>
      <c r="M132" s="112">
        <v>70.119</v>
      </c>
      <c r="N132" s="112">
        <v>3.601</v>
      </c>
      <c r="O132" s="122">
        <v>364.25900000000001</v>
      </c>
      <c r="P132" s="112">
        <v>25.349</v>
      </c>
      <c r="Q132" s="112">
        <v>122.178</v>
      </c>
      <c r="R132" s="112">
        <v>248.03700000000001</v>
      </c>
      <c r="S132" s="112">
        <v>250.23599999999999</v>
      </c>
      <c r="T132" s="112">
        <v>147.21100000000001</v>
      </c>
      <c r="U132" s="112">
        <v>3.9350000000000001</v>
      </c>
      <c r="V132" s="112">
        <v>796.95</v>
      </c>
    </row>
    <row r="133" spans="1:22" x14ac:dyDescent="0.2">
      <c r="A133" s="47" t="s">
        <v>87</v>
      </c>
      <c r="B133" s="112">
        <v>13.587</v>
      </c>
      <c r="C133" s="112">
        <v>62.703000000000003</v>
      </c>
      <c r="D133" s="112">
        <v>138.38200000000001</v>
      </c>
      <c r="E133" s="112">
        <v>104.355</v>
      </c>
      <c r="F133" s="112">
        <v>65.472999999999999</v>
      </c>
      <c r="G133" s="112">
        <v>0.24099999999999999</v>
      </c>
      <c r="H133" s="122">
        <v>384.74200000000002</v>
      </c>
      <c r="I133" s="112">
        <v>8.39</v>
      </c>
      <c r="J133" s="112">
        <v>49.74</v>
      </c>
      <c r="K133" s="112">
        <v>82.998999999999995</v>
      </c>
      <c r="L133" s="112">
        <v>106.462</v>
      </c>
      <c r="M133" s="112">
        <v>50.364000000000004</v>
      </c>
      <c r="N133" s="112">
        <v>3.5550000000000002</v>
      </c>
      <c r="O133" s="122">
        <v>301.51100000000002</v>
      </c>
      <c r="P133" s="112">
        <v>21.977</v>
      </c>
      <c r="Q133" s="112">
        <v>112.44300000000001</v>
      </c>
      <c r="R133" s="112">
        <v>221.381</v>
      </c>
      <c r="S133" s="112">
        <v>210.81700000000001</v>
      </c>
      <c r="T133" s="112">
        <v>115.837</v>
      </c>
      <c r="U133" s="112">
        <v>3.7960000000000003</v>
      </c>
      <c r="V133" s="112">
        <v>686.25300000000004</v>
      </c>
    </row>
    <row r="134" spans="1:22" x14ac:dyDescent="0.2">
      <c r="A134" s="47" t="s">
        <v>84</v>
      </c>
      <c r="B134" s="112">
        <v>48.3</v>
      </c>
      <c r="C134" s="112">
        <v>216.30699999999999</v>
      </c>
      <c r="D134" s="112">
        <v>472.2</v>
      </c>
      <c r="E134" s="112">
        <v>350.07100000000003</v>
      </c>
      <c r="F134" s="112">
        <v>219.73700000000002</v>
      </c>
      <c r="G134" s="112">
        <v>0.91</v>
      </c>
      <c r="H134" s="122">
        <v>1307.5250000000001</v>
      </c>
      <c r="I134" s="112">
        <v>29.810000000000002</v>
      </c>
      <c r="J134" s="112">
        <v>179.21600000000001</v>
      </c>
      <c r="K134" s="112">
        <v>296.08199999999999</v>
      </c>
      <c r="L134" s="112">
        <v>373.30200000000002</v>
      </c>
      <c r="M134" s="112">
        <v>184.33500000000001</v>
      </c>
      <c r="N134" s="112">
        <v>11.083</v>
      </c>
      <c r="O134" s="122">
        <v>1073.83</v>
      </c>
      <c r="P134" s="112">
        <v>78.11</v>
      </c>
      <c r="Q134" s="112">
        <v>395.52300000000002</v>
      </c>
      <c r="R134" s="112">
        <v>768.28199999999993</v>
      </c>
      <c r="S134" s="112">
        <v>723.37300000000005</v>
      </c>
      <c r="T134" s="112">
        <v>404.072</v>
      </c>
      <c r="U134" s="112">
        <v>11.993</v>
      </c>
      <c r="V134" s="112">
        <v>2381.355</v>
      </c>
    </row>
    <row r="135" spans="1:22" x14ac:dyDescent="0.2">
      <c r="A135" s="123"/>
      <c r="B135" s="112"/>
      <c r="C135" s="112"/>
      <c r="D135" s="112"/>
      <c r="E135" s="112"/>
      <c r="F135" s="112"/>
      <c r="G135" s="112"/>
      <c r="H135" s="122"/>
      <c r="I135" s="112"/>
      <c r="J135" s="112"/>
      <c r="K135" s="112"/>
      <c r="L135" s="112"/>
      <c r="M135" s="112"/>
      <c r="N135" s="112"/>
      <c r="O135" s="122"/>
      <c r="P135" s="112"/>
      <c r="Q135" s="112"/>
      <c r="R135" s="112"/>
      <c r="S135" s="112"/>
      <c r="T135" s="112"/>
      <c r="U135" s="112"/>
      <c r="V135" s="112"/>
    </row>
    <row r="136" spans="1:22" x14ac:dyDescent="0.2">
      <c r="A136" s="114">
        <v>2005</v>
      </c>
      <c r="H136" s="121"/>
      <c r="O136" s="121"/>
    </row>
    <row r="137" spans="1:22" x14ac:dyDescent="0.2">
      <c r="A137" s="47" t="s">
        <v>74</v>
      </c>
      <c r="B137" s="112">
        <v>13.204000000000001</v>
      </c>
      <c r="C137" s="112">
        <v>62.954000000000001</v>
      </c>
      <c r="D137" s="112">
        <v>162.47800000000001</v>
      </c>
      <c r="E137" s="112">
        <v>120.55</v>
      </c>
      <c r="F137" s="112">
        <v>63.103000000000002</v>
      </c>
      <c r="G137" s="112">
        <v>0.24199999999999999</v>
      </c>
      <c r="H137" s="122">
        <v>422.529</v>
      </c>
      <c r="I137" s="112">
        <v>7.9539999999999997</v>
      </c>
      <c r="J137" s="112">
        <v>50.731000000000002</v>
      </c>
      <c r="K137" s="112">
        <v>74.153999999999996</v>
      </c>
      <c r="L137" s="112">
        <v>90.066000000000003</v>
      </c>
      <c r="M137" s="112">
        <v>45.423999999999999</v>
      </c>
      <c r="N137" s="112">
        <v>2.6339999999999999</v>
      </c>
      <c r="O137" s="122">
        <v>270.96500000000003</v>
      </c>
      <c r="P137" s="112">
        <v>21.158000000000001</v>
      </c>
      <c r="Q137" s="112">
        <v>113.685</v>
      </c>
      <c r="R137" s="112">
        <v>236.63200000000001</v>
      </c>
      <c r="S137" s="112">
        <v>210.61599999999999</v>
      </c>
      <c r="T137" s="112">
        <v>108.527</v>
      </c>
      <c r="U137" s="112">
        <v>2.8759999999999999</v>
      </c>
      <c r="V137" s="112">
        <v>693.49400000000003</v>
      </c>
    </row>
    <row r="138" spans="1:22" x14ac:dyDescent="0.2">
      <c r="A138" s="47" t="s">
        <v>75</v>
      </c>
      <c r="B138" s="112">
        <v>12.026</v>
      </c>
      <c r="C138" s="112">
        <v>64.346000000000004</v>
      </c>
      <c r="D138" s="112">
        <v>153.018</v>
      </c>
      <c r="E138" s="112">
        <v>111.85900000000001</v>
      </c>
      <c r="F138" s="112">
        <v>58.286999999999999</v>
      </c>
      <c r="G138" s="112">
        <v>2.3E-2</v>
      </c>
      <c r="H138" s="122">
        <v>399.56</v>
      </c>
      <c r="I138" s="112">
        <v>7.7110000000000003</v>
      </c>
      <c r="J138" s="112">
        <v>51.319000000000003</v>
      </c>
      <c r="K138" s="112">
        <v>84.870999999999995</v>
      </c>
      <c r="L138" s="112">
        <v>90.409000000000006</v>
      </c>
      <c r="M138" s="112">
        <v>53.788000000000004</v>
      </c>
      <c r="N138" s="112">
        <v>2.903</v>
      </c>
      <c r="O138" s="122">
        <v>291</v>
      </c>
      <c r="P138" s="112">
        <v>19.737000000000002</v>
      </c>
      <c r="Q138" s="112">
        <v>115.66500000000001</v>
      </c>
      <c r="R138" s="112">
        <v>237.88900000000001</v>
      </c>
      <c r="S138" s="112">
        <v>202.26800000000003</v>
      </c>
      <c r="T138" s="112">
        <v>112.075</v>
      </c>
      <c r="U138" s="112">
        <v>2.9260000000000002</v>
      </c>
      <c r="V138" s="112">
        <v>690.56</v>
      </c>
    </row>
    <row r="139" spans="1:22" x14ac:dyDescent="0.2">
      <c r="A139" s="47" t="s">
        <v>76</v>
      </c>
      <c r="B139" s="112">
        <v>15.383000000000001</v>
      </c>
      <c r="C139" s="112">
        <v>68.653000000000006</v>
      </c>
      <c r="D139" s="112">
        <v>162.45099999999999</v>
      </c>
      <c r="E139" s="112">
        <v>120.733</v>
      </c>
      <c r="F139" s="112">
        <v>78.408000000000001</v>
      </c>
      <c r="G139" s="112">
        <v>0.216</v>
      </c>
      <c r="H139" s="122">
        <v>445.84199999999998</v>
      </c>
      <c r="I139" s="112">
        <v>10.397</v>
      </c>
      <c r="J139" s="112">
        <v>61.116</v>
      </c>
      <c r="K139" s="112">
        <v>92.902000000000001</v>
      </c>
      <c r="L139" s="112">
        <v>125.13500000000001</v>
      </c>
      <c r="M139" s="112">
        <v>65.98</v>
      </c>
      <c r="N139" s="112">
        <v>4.1399999999999997</v>
      </c>
      <c r="O139" s="122">
        <v>359.673</v>
      </c>
      <c r="P139" s="112">
        <v>25.78</v>
      </c>
      <c r="Q139" s="112">
        <v>129.76900000000001</v>
      </c>
      <c r="R139" s="112">
        <v>255.35300000000001</v>
      </c>
      <c r="S139" s="112">
        <v>245.86799999999999</v>
      </c>
      <c r="T139" s="112">
        <v>144.38800000000001</v>
      </c>
      <c r="U139" s="112">
        <v>4.3559999999999999</v>
      </c>
      <c r="V139" s="112">
        <v>805.51499999999999</v>
      </c>
    </row>
    <row r="140" spans="1:22" x14ac:dyDescent="0.2">
      <c r="A140" s="47" t="s">
        <v>77</v>
      </c>
      <c r="B140" s="112">
        <v>40.613</v>
      </c>
      <c r="C140" s="112">
        <v>195.95300000000003</v>
      </c>
      <c r="D140" s="112">
        <v>477.947</v>
      </c>
      <c r="E140" s="112">
        <v>353.142</v>
      </c>
      <c r="F140" s="112">
        <v>199.798</v>
      </c>
      <c r="G140" s="112">
        <v>0.48099999999999998</v>
      </c>
      <c r="H140" s="122">
        <v>1267.931</v>
      </c>
      <c r="I140" s="112">
        <v>26.061999999999998</v>
      </c>
      <c r="J140" s="112">
        <v>163.166</v>
      </c>
      <c r="K140" s="112">
        <v>251.92699999999996</v>
      </c>
      <c r="L140" s="112">
        <v>305.61</v>
      </c>
      <c r="M140" s="112">
        <v>165.19200000000001</v>
      </c>
      <c r="N140" s="112">
        <v>9.6769999999999996</v>
      </c>
      <c r="O140" s="122">
        <v>921.63800000000003</v>
      </c>
      <c r="P140" s="112">
        <v>66.674999999999997</v>
      </c>
      <c r="Q140" s="112">
        <v>359.11900000000003</v>
      </c>
      <c r="R140" s="112">
        <v>729.87400000000002</v>
      </c>
      <c r="S140" s="112">
        <v>658.75199999999995</v>
      </c>
      <c r="T140" s="112">
        <v>364.99</v>
      </c>
      <c r="U140" s="112">
        <v>10.157999999999999</v>
      </c>
      <c r="V140" s="112">
        <v>2189.569</v>
      </c>
    </row>
    <row r="141" spans="1:22" x14ac:dyDescent="0.2">
      <c r="A141" s="47" t="s">
        <v>78</v>
      </c>
      <c r="B141" s="112">
        <v>15.807</v>
      </c>
      <c r="C141" s="112">
        <v>77.23</v>
      </c>
      <c r="D141" s="112">
        <v>180.46299999999999</v>
      </c>
      <c r="E141" s="112">
        <v>112.492</v>
      </c>
      <c r="F141" s="112">
        <v>68.352000000000004</v>
      </c>
      <c r="G141" s="112">
        <v>0.38400000000000001</v>
      </c>
      <c r="H141" s="122">
        <v>454.72700000000003</v>
      </c>
      <c r="I141" s="112">
        <v>9.0090000000000003</v>
      </c>
      <c r="J141" s="112">
        <v>55.97</v>
      </c>
      <c r="K141" s="112">
        <v>75.713999999999999</v>
      </c>
      <c r="L141" s="112">
        <v>91.088000000000008</v>
      </c>
      <c r="M141" s="112">
        <v>56.749000000000002</v>
      </c>
      <c r="N141" s="112">
        <v>2.9010000000000002</v>
      </c>
      <c r="O141" s="122">
        <v>291.42900000000003</v>
      </c>
      <c r="P141" s="112">
        <v>24.816000000000003</v>
      </c>
      <c r="Q141" s="112">
        <v>133.19999999999999</v>
      </c>
      <c r="R141" s="112">
        <v>256.17700000000002</v>
      </c>
      <c r="S141" s="112">
        <v>203.58</v>
      </c>
      <c r="T141" s="112">
        <v>125.101</v>
      </c>
      <c r="U141" s="112">
        <v>3.2850000000000001</v>
      </c>
      <c r="V141" s="112">
        <v>746.15600000000006</v>
      </c>
    </row>
    <row r="142" spans="1:22" x14ac:dyDescent="0.2">
      <c r="A142" s="47" t="s">
        <v>79</v>
      </c>
      <c r="B142" s="112">
        <v>16.420999999999999</v>
      </c>
      <c r="C142" s="112">
        <v>70.823000000000008</v>
      </c>
      <c r="D142" s="112">
        <v>169.25300000000001</v>
      </c>
      <c r="E142" s="112">
        <v>113.39400000000001</v>
      </c>
      <c r="F142" s="112">
        <v>72.296999999999997</v>
      </c>
      <c r="G142" s="112">
        <v>0.13600000000000001</v>
      </c>
      <c r="H142" s="122">
        <v>442.327</v>
      </c>
      <c r="I142" s="112">
        <v>9.6690000000000005</v>
      </c>
      <c r="J142" s="112">
        <v>52.613</v>
      </c>
      <c r="K142" s="112">
        <v>87.251999999999995</v>
      </c>
      <c r="L142" s="112">
        <v>111.768</v>
      </c>
      <c r="M142" s="112">
        <v>54.384</v>
      </c>
      <c r="N142" s="112">
        <v>3.9279999999999999</v>
      </c>
      <c r="O142" s="122">
        <v>319.61400000000003</v>
      </c>
      <c r="P142" s="112">
        <v>26.09</v>
      </c>
      <c r="Q142" s="112">
        <v>123.43600000000001</v>
      </c>
      <c r="R142" s="112">
        <v>256.505</v>
      </c>
      <c r="S142" s="112">
        <v>225.16200000000001</v>
      </c>
      <c r="T142" s="112">
        <v>126.681</v>
      </c>
      <c r="U142" s="112">
        <v>4.0640000000000001</v>
      </c>
      <c r="V142" s="112">
        <v>761.94100000000003</v>
      </c>
    </row>
    <row r="143" spans="1:22" x14ac:dyDescent="0.2">
      <c r="A143" s="47" t="s">
        <v>89</v>
      </c>
      <c r="B143" s="112">
        <v>16.568000000000001</v>
      </c>
      <c r="C143" s="112">
        <v>71.778999999999996</v>
      </c>
      <c r="D143" s="112">
        <v>174.416</v>
      </c>
      <c r="E143" s="112">
        <v>116.22800000000001</v>
      </c>
      <c r="F143" s="112">
        <v>81.231999999999999</v>
      </c>
      <c r="G143" s="112">
        <v>0.183</v>
      </c>
      <c r="H143" s="122">
        <v>460.40600000000001</v>
      </c>
      <c r="I143" s="112">
        <v>10.386000000000001</v>
      </c>
      <c r="J143" s="112">
        <v>62.506999999999998</v>
      </c>
      <c r="K143" s="112">
        <v>104.738</v>
      </c>
      <c r="L143" s="112">
        <v>115.366</v>
      </c>
      <c r="M143" s="112">
        <v>58.849000000000004</v>
      </c>
      <c r="N143" s="112">
        <v>4.117</v>
      </c>
      <c r="O143" s="122">
        <v>355.964</v>
      </c>
      <c r="P143" s="112">
        <v>26.954000000000001</v>
      </c>
      <c r="Q143" s="112">
        <v>134.286</v>
      </c>
      <c r="R143" s="112">
        <v>279.154</v>
      </c>
      <c r="S143" s="112">
        <v>231.59399999999999</v>
      </c>
      <c r="T143" s="112">
        <v>140.08100000000002</v>
      </c>
      <c r="U143" s="112">
        <v>4.3</v>
      </c>
      <c r="V143" s="112">
        <v>816.37</v>
      </c>
    </row>
    <row r="144" spans="1:22" x14ac:dyDescent="0.2">
      <c r="A144" s="47" t="s">
        <v>80</v>
      </c>
      <c r="B144" s="112">
        <v>48.796000000000006</v>
      </c>
      <c r="C144" s="112">
        <v>219.83199999999999</v>
      </c>
      <c r="D144" s="112">
        <v>524.13200000000006</v>
      </c>
      <c r="E144" s="112">
        <v>342.11400000000003</v>
      </c>
      <c r="F144" s="112">
        <v>221.881</v>
      </c>
      <c r="G144" s="112">
        <v>0.70300000000000007</v>
      </c>
      <c r="H144" s="122">
        <v>1357.46</v>
      </c>
      <c r="I144" s="112">
        <v>29.064</v>
      </c>
      <c r="J144" s="112">
        <v>171.09</v>
      </c>
      <c r="K144" s="112">
        <v>267.70400000000001</v>
      </c>
      <c r="L144" s="112">
        <v>318.22199999999998</v>
      </c>
      <c r="M144" s="112">
        <v>169.98200000000003</v>
      </c>
      <c r="N144" s="112">
        <v>10.946000000000002</v>
      </c>
      <c r="O144" s="122">
        <v>967.00700000000006</v>
      </c>
      <c r="P144" s="112">
        <v>77.860000000000014</v>
      </c>
      <c r="Q144" s="112">
        <v>390.92200000000003</v>
      </c>
      <c r="R144" s="112">
        <v>791.83600000000001</v>
      </c>
      <c r="S144" s="112">
        <v>660.33600000000001</v>
      </c>
      <c r="T144" s="112">
        <v>391.86300000000006</v>
      </c>
      <c r="U144" s="112">
        <v>11.649000000000001</v>
      </c>
      <c r="V144" s="112">
        <v>2324.4670000000001</v>
      </c>
    </row>
    <row r="145" spans="1:22" x14ac:dyDescent="0.2">
      <c r="A145" s="47" t="s">
        <v>90</v>
      </c>
      <c r="B145" s="112">
        <v>15.133000000000001</v>
      </c>
      <c r="C145" s="112">
        <v>62.895000000000003</v>
      </c>
      <c r="D145" s="112">
        <v>164.91400000000002</v>
      </c>
      <c r="E145" s="112">
        <v>113.345</v>
      </c>
      <c r="F145" s="112">
        <v>71.665999999999997</v>
      </c>
      <c r="G145" s="112">
        <v>6.6000000000000003E-2</v>
      </c>
      <c r="H145" s="122">
        <v>428.02199999999999</v>
      </c>
      <c r="I145" s="112">
        <v>8.7740000000000009</v>
      </c>
      <c r="J145" s="112">
        <v>50.396000000000001</v>
      </c>
      <c r="K145" s="112">
        <v>101.062</v>
      </c>
      <c r="L145" s="112">
        <v>109.482</v>
      </c>
      <c r="M145" s="112">
        <v>59.372</v>
      </c>
      <c r="N145" s="112">
        <v>3.2029999999999998</v>
      </c>
      <c r="O145" s="122">
        <v>332.28700000000003</v>
      </c>
      <c r="P145" s="112">
        <v>23.907000000000004</v>
      </c>
      <c r="Q145" s="112">
        <v>113.291</v>
      </c>
      <c r="R145" s="112">
        <v>265.976</v>
      </c>
      <c r="S145" s="112">
        <v>222.827</v>
      </c>
      <c r="T145" s="112">
        <v>131.03800000000001</v>
      </c>
      <c r="U145" s="112">
        <v>3.2689999999999997</v>
      </c>
      <c r="V145" s="112">
        <v>760.30899999999997</v>
      </c>
    </row>
    <row r="146" spans="1:22" x14ac:dyDescent="0.2">
      <c r="A146" s="47" t="s">
        <v>81</v>
      </c>
      <c r="B146" s="112">
        <v>18.036000000000001</v>
      </c>
      <c r="C146" s="112">
        <v>73.53</v>
      </c>
      <c r="D146" s="112">
        <v>178.357</v>
      </c>
      <c r="E146" s="112">
        <v>125.822</v>
      </c>
      <c r="F146" s="112">
        <v>79.575000000000003</v>
      </c>
      <c r="G146" s="112">
        <v>0.22800000000000001</v>
      </c>
      <c r="H146" s="122">
        <v>475.54599999999999</v>
      </c>
      <c r="I146" s="112">
        <v>10.618</v>
      </c>
      <c r="J146" s="112">
        <v>58.039000000000001</v>
      </c>
      <c r="K146" s="112">
        <v>112.182</v>
      </c>
      <c r="L146" s="112">
        <v>121.465</v>
      </c>
      <c r="M146" s="112">
        <v>61.673999999999999</v>
      </c>
      <c r="N146" s="112">
        <v>3.4830000000000001</v>
      </c>
      <c r="O146" s="122">
        <v>367.46100000000001</v>
      </c>
      <c r="P146" s="112">
        <v>28.654000000000003</v>
      </c>
      <c r="Q146" s="112">
        <v>131.56900000000002</v>
      </c>
      <c r="R146" s="112">
        <v>290.53899999999999</v>
      </c>
      <c r="S146" s="112">
        <v>247.28700000000001</v>
      </c>
      <c r="T146" s="112">
        <v>141.249</v>
      </c>
      <c r="U146" s="112">
        <v>3.7110000000000003</v>
      </c>
      <c r="V146" s="112">
        <v>843.00700000000006</v>
      </c>
    </row>
    <row r="147" spans="1:22" x14ac:dyDescent="0.2">
      <c r="A147" s="47" t="s">
        <v>82</v>
      </c>
      <c r="B147" s="112">
        <v>13.845000000000001</v>
      </c>
      <c r="C147" s="112">
        <v>56.512999999999998</v>
      </c>
      <c r="D147" s="112">
        <v>179.55600000000001</v>
      </c>
      <c r="E147" s="112">
        <v>127.598</v>
      </c>
      <c r="F147" s="112">
        <v>80.617999999999995</v>
      </c>
      <c r="G147" s="112">
        <v>0.45600000000000002</v>
      </c>
      <c r="H147" s="122">
        <v>458.58600000000001</v>
      </c>
      <c r="I147" s="112">
        <v>8.120000000000001</v>
      </c>
      <c r="J147" s="112">
        <v>51.585999999999999</v>
      </c>
      <c r="K147" s="112">
        <v>144.81800000000001</v>
      </c>
      <c r="L147" s="112">
        <v>119.18900000000001</v>
      </c>
      <c r="M147" s="112">
        <v>72.025000000000006</v>
      </c>
      <c r="N147" s="112">
        <v>3.6560000000000001</v>
      </c>
      <c r="O147" s="122">
        <v>399.39300000000003</v>
      </c>
      <c r="P147" s="112">
        <v>21.965000000000003</v>
      </c>
      <c r="Q147" s="112">
        <v>108.09899999999999</v>
      </c>
      <c r="R147" s="112">
        <v>324.37400000000002</v>
      </c>
      <c r="S147" s="112">
        <v>246.78700000000001</v>
      </c>
      <c r="T147" s="112">
        <v>152.643</v>
      </c>
      <c r="U147" s="112">
        <v>4.1120000000000001</v>
      </c>
      <c r="V147" s="112">
        <v>857.97900000000004</v>
      </c>
    </row>
    <row r="148" spans="1:22" x14ac:dyDescent="0.2">
      <c r="A148" s="47" t="s">
        <v>83</v>
      </c>
      <c r="B148" s="112">
        <v>47.014000000000003</v>
      </c>
      <c r="C148" s="112">
        <v>192.93800000000002</v>
      </c>
      <c r="D148" s="112">
        <v>522.827</v>
      </c>
      <c r="E148" s="112">
        <v>366.76499999999999</v>
      </c>
      <c r="F148" s="112">
        <v>231.85899999999998</v>
      </c>
      <c r="G148" s="112">
        <v>0.75</v>
      </c>
      <c r="H148" s="122">
        <v>1362.154</v>
      </c>
      <c r="I148" s="112">
        <v>27.512000000000004</v>
      </c>
      <c r="J148" s="112">
        <v>160.02100000000002</v>
      </c>
      <c r="K148" s="112">
        <v>358.06200000000001</v>
      </c>
      <c r="L148" s="112">
        <v>350.13600000000002</v>
      </c>
      <c r="M148" s="112">
        <v>193.071</v>
      </c>
      <c r="N148" s="112">
        <v>10.342000000000001</v>
      </c>
      <c r="O148" s="122">
        <v>1099.1410000000001</v>
      </c>
      <c r="P148" s="112">
        <v>74.52600000000001</v>
      </c>
      <c r="Q148" s="112">
        <v>352.95900000000006</v>
      </c>
      <c r="R148" s="112">
        <v>880.88900000000001</v>
      </c>
      <c r="S148" s="112">
        <v>716.90100000000007</v>
      </c>
      <c r="T148" s="112">
        <v>424.92999999999995</v>
      </c>
      <c r="U148" s="112">
        <v>11.092000000000001</v>
      </c>
      <c r="V148" s="112">
        <v>2461.2950000000001</v>
      </c>
    </row>
    <row r="149" spans="1:22" x14ac:dyDescent="0.2">
      <c r="A149" s="47" t="s">
        <v>85</v>
      </c>
      <c r="B149" s="112">
        <v>17.664000000000001</v>
      </c>
      <c r="C149" s="112">
        <v>68.504999999999995</v>
      </c>
      <c r="D149" s="112">
        <v>192.56200000000001</v>
      </c>
      <c r="E149" s="112">
        <v>128.79</v>
      </c>
      <c r="F149" s="112">
        <v>83.603000000000009</v>
      </c>
      <c r="G149" s="112">
        <v>0.34600000000000003</v>
      </c>
      <c r="H149" s="122">
        <v>491.47</v>
      </c>
      <c r="I149" s="112">
        <v>8.2379999999999995</v>
      </c>
      <c r="J149" s="112">
        <v>58.765000000000001</v>
      </c>
      <c r="K149" s="112">
        <v>108.596</v>
      </c>
      <c r="L149" s="112">
        <v>127.66500000000001</v>
      </c>
      <c r="M149" s="112">
        <v>81.216999999999999</v>
      </c>
      <c r="N149" s="112">
        <v>1.5150000000000001</v>
      </c>
      <c r="O149" s="122">
        <v>385.99599999999998</v>
      </c>
      <c r="P149" s="112">
        <v>25.902000000000001</v>
      </c>
      <c r="Q149" s="112">
        <v>127.27</v>
      </c>
      <c r="R149" s="112">
        <v>301.15800000000002</v>
      </c>
      <c r="S149" s="112">
        <v>256.45499999999998</v>
      </c>
      <c r="T149" s="112">
        <v>164.82</v>
      </c>
      <c r="U149" s="112">
        <v>1.8610000000000002</v>
      </c>
      <c r="V149" s="112">
        <v>877.46600000000001</v>
      </c>
    </row>
    <row r="150" spans="1:22" x14ac:dyDescent="0.2">
      <c r="A150" s="47" t="s">
        <v>86</v>
      </c>
      <c r="B150" s="112">
        <v>12.282</v>
      </c>
      <c r="C150" s="112">
        <v>58.575000000000003</v>
      </c>
      <c r="D150" s="112">
        <v>167.93200000000002</v>
      </c>
      <c r="E150" s="112">
        <v>119.08200000000001</v>
      </c>
      <c r="F150" s="112">
        <v>74.144000000000005</v>
      </c>
      <c r="G150" s="112">
        <v>0.496</v>
      </c>
      <c r="H150" s="122">
        <v>432.51100000000002</v>
      </c>
      <c r="I150" s="112">
        <v>7.49</v>
      </c>
      <c r="J150" s="112">
        <v>50.478000000000002</v>
      </c>
      <c r="K150" s="112">
        <v>82.951999999999998</v>
      </c>
      <c r="L150" s="112">
        <v>124.93900000000001</v>
      </c>
      <c r="M150" s="112">
        <v>64.453000000000003</v>
      </c>
      <c r="N150" s="112">
        <v>1.732</v>
      </c>
      <c r="O150" s="122">
        <v>332.04399999999998</v>
      </c>
      <c r="P150" s="112">
        <v>19.771999999999998</v>
      </c>
      <c r="Q150" s="112">
        <v>109.053</v>
      </c>
      <c r="R150" s="112">
        <v>250.88400000000001</v>
      </c>
      <c r="S150" s="112">
        <v>244.02100000000002</v>
      </c>
      <c r="T150" s="112">
        <v>138.59700000000001</v>
      </c>
      <c r="U150" s="112">
        <v>2.2279999999999998</v>
      </c>
      <c r="V150" s="112">
        <v>764.55500000000006</v>
      </c>
    </row>
    <row r="151" spans="1:22" x14ac:dyDescent="0.2">
      <c r="A151" s="47" t="s">
        <v>87</v>
      </c>
      <c r="B151" s="112">
        <v>13.040000000000001</v>
      </c>
      <c r="C151" s="112">
        <v>50.378999999999998</v>
      </c>
      <c r="D151" s="112">
        <v>140.64400000000001</v>
      </c>
      <c r="E151" s="112">
        <v>101.78100000000001</v>
      </c>
      <c r="F151" s="112">
        <v>68.537999999999997</v>
      </c>
      <c r="G151" s="112">
        <v>0.09</v>
      </c>
      <c r="H151" s="122">
        <v>374.47199999999998</v>
      </c>
      <c r="I151" s="112">
        <v>6.7869999999999999</v>
      </c>
      <c r="J151" s="112">
        <v>39.555999999999997</v>
      </c>
      <c r="K151" s="112">
        <v>91.097000000000008</v>
      </c>
      <c r="L151" s="112">
        <v>124.666</v>
      </c>
      <c r="M151" s="112">
        <v>55.137999999999998</v>
      </c>
      <c r="N151" s="112">
        <v>2.9290000000000003</v>
      </c>
      <c r="O151" s="122">
        <v>320.173</v>
      </c>
      <c r="P151" s="112">
        <v>19.827000000000002</v>
      </c>
      <c r="Q151" s="112">
        <v>89.935000000000002</v>
      </c>
      <c r="R151" s="112">
        <v>231.74100000000001</v>
      </c>
      <c r="S151" s="112">
        <v>226.447</v>
      </c>
      <c r="T151" s="112">
        <v>123.67599999999999</v>
      </c>
      <c r="U151" s="112">
        <v>3.0190000000000001</v>
      </c>
      <c r="V151" s="112">
        <v>694.64499999999998</v>
      </c>
    </row>
    <row r="152" spans="1:22" x14ac:dyDescent="0.2">
      <c r="A152" s="47" t="s">
        <v>84</v>
      </c>
      <c r="B152" s="112">
        <v>42.986000000000004</v>
      </c>
      <c r="C152" s="112">
        <v>177.459</v>
      </c>
      <c r="D152" s="112">
        <v>501.13800000000003</v>
      </c>
      <c r="E152" s="112">
        <v>349.65300000000002</v>
      </c>
      <c r="F152" s="112">
        <v>226.28500000000003</v>
      </c>
      <c r="G152" s="112">
        <v>0.93200000000000005</v>
      </c>
      <c r="H152" s="122">
        <v>1298.453</v>
      </c>
      <c r="I152" s="112">
        <v>22.515000000000001</v>
      </c>
      <c r="J152" s="112">
        <v>148.79899999999998</v>
      </c>
      <c r="K152" s="112">
        <v>282.64499999999998</v>
      </c>
      <c r="L152" s="112">
        <v>377.27</v>
      </c>
      <c r="M152" s="112">
        <v>200.80800000000002</v>
      </c>
      <c r="N152" s="112">
        <v>6.1760000000000002</v>
      </c>
      <c r="O152" s="122">
        <v>1038.213</v>
      </c>
      <c r="P152" s="112">
        <v>65.501000000000005</v>
      </c>
      <c r="Q152" s="112">
        <v>326.25799999999998</v>
      </c>
      <c r="R152" s="112">
        <v>783.78300000000002</v>
      </c>
      <c r="S152" s="112">
        <v>726.923</v>
      </c>
      <c r="T152" s="112">
        <v>427.09300000000007</v>
      </c>
      <c r="U152" s="112">
        <v>7.1080000000000005</v>
      </c>
      <c r="V152" s="112">
        <v>2336.6660000000002</v>
      </c>
    </row>
    <row r="153" spans="1:22" x14ac:dyDescent="0.2">
      <c r="A153" s="114"/>
      <c r="B153" s="112"/>
      <c r="C153" s="112"/>
      <c r="D153" s="112"/>
      <c r="E153" s="112"/>
      <c r="F153" s="112"/>
      <c r="G153" s="112"/>
      <c r="H153" s="122"/>
      <c r="I153" s="112"/>
      <c r="J153" s="112"/>
      <c r="K153" s="112"/>
      <c r="L153" s="112"/>
      <c r="M153" s="112"/>
      <c r="N153" s="112"/>
      <c r="O153" s="122"/>
      <c r="P153" s="112"/>
      <c r="Q153" s="112"/>
      <c r="R153" s="112"/>
      <c r="S153" s="112"/>
      <c r="T153" s="112"/>
      <c r="U153" s="112"/>
      <c r="V153" s="112"/>
    </row>
    <row r="154" spans="1:22" x14ac:dyDescent="0.2">
      <c r="A154" s="114">
        <v>2006</v>
      </c>
      <c r="B154" s="112"/>
      <c r="C154" s="112"/>
      <c r="D154" s="112"/>
      <c r="E154" s="112"/>
      <c r="F154" s="112"/>
      <c r="G154" s="112"/>
      <c r="H154" s="122"/>
      <c r="I154" s="112"/>
      <c r="J154" s="112"/>
      <c r="K154" s="112"/>
      <c r="L154" s="112"/>
      <c r="M154" s="112"/>
      <c r="N154" s="112"/>
      <c r="O154" s="122"/>
      <c r="P154" s="112"/>
      <c r="Q154" s="112"/>
      <c r="R154" s="112"/>
      <c r="S154" s="112"/>
      <c r="T154" s="112"/>
      <c r="U154" s="112"/>
      <c r="V154" s="112"/>
    </row>
    <row r="155" spans="1:22" x14ac:dyDescent="0.2">
      <c r="A155" s="47" t="s">
        <v>74</v>
      </c>
      <c r="B155" s="112">
        <v>13.115</v>
      </c>
      <c r="C155" s="112">
        <v>56.410000000000004</v>
      </c>
      <c r="D155" s="112">
        <v>163.29300000000001</v>
      </c>
      <c r="E155" s="112">
        <v>118.164</v>
      </c>
      <c r="F155" s="112">
        <v>66.387</v>
      </c>
      <c r="G155" s="112">
        <v>0.13700000000000001</v>
      </c>
      <c r="H155" s="122">
        <v>417.50600000000003</v>
      </c>
      <c r="I155" s="112">
        <v>7.0979999999999999</v>
      </c>
      <c r="J155" s="112">
        <v>46.561</v>
      </c>
      <c r="K155" s="112">
        <v>76.171999999999997</v>
      </c>
      <c r="L155" s="112">
        <v>102.43600000000001</v>
      </c>
      <c r="M155" s="112">
        <v>51.861000000000004</v>
      </c>
      <c r="N155" s="112">
        <v>2.302</v>
      </c>
      <c r="O155" s="122">
        <v>286.43</v>
      </c>
      <c r="P155" s="112">
        <v>20.213000000000001</v>
      </c>
      <c r="Q155" s="112">
        <v>102.971</v>
      </c>
      <c r="R155" s="112">
        <v>239.465</v>
      </c>
      <c r="S155" s="112">
        <v>220.60000000000002</v>
      </c>
      <c r="T155" s="112">
        <v>118.248</v>
      </c>
      <c r="U155" s="112">
        <v>2.4390000000000001</v>
      </c>
      <c r="V155" s="112">
        <v>703.93600000000004</v>
      </c>
    </row>
    <row r="156" spans="1:22" x14ac:dyDescent="0.2">
      <c r="A156" s="47" t="s">
        <v>75</v>
      </c>
      <c r="B156" s="112">
        <v>13.016999999999999</v>
      </c>
      <c r="C156" s="112">
        <v>53.375999999999998</v>
      </c>
      <c r="D156" s="112">
        <v>143.28200000000001</v>
      </c>
      <c r="E156" s="112">
        <v>110.94</v>
      </c>
      <c r="F156" s="112">
        <v>59.433</v>
      </c>
      <c r="G156" s="112">
        <v>0.28000000000000003</v>
      </c>
      <c r="H156" s="122">
        <v>380.32800000000003</v>
      </c>
      <c r="I156" s="112">
        <v>7.3780000000000001</v>
      </c>
      <c r="J156" s="112">
        <v>46.182000000000002</v>
      </c>
      <c r="K156" s="112">
        <v>75.361000000000004</v>
      </c>
      <c r="L156" s="112">
        <v>101.10900000000001</v>
      </c>
      <c r="M156" s="112">
        <v>40.789000000000001</v>
      </c>
      <c r="N156" s="112">
        <v>1.9670000000000001</v>
      </c>
      <c r="O156" s="122">
        <v>272.786</v>
      </c>
      <c r="P156" s="112">
        <v>20.395</v>
      </c>
      <c r="Q156" s="112">
        <v>99.557999999999993</v>
      </c>
      <c r="R156" s="112">
        <v>218.64300000000003</v>
      </c>
      <c r="S156" s="112">
        <v>212.04900000000001</v>
      </c>
      <c r="T156" s="112">
        <v>100.22200000000001</v>
      </c>
      <c r="U156" s="112">
        <v>2.2469999999999999</v>
      </c>
      <c r="V156" s="112">
        <v>653.11400000000003</v>
      </c>
    </row>
    <row r="157" spans="1:22" x14ac:dyDescent="0.2">
      <c r="A157" s="47" t="s">
        <v>76</v>
      </c>
      <c r="B157" s="112">
        <v>15.786</v>
      </c>
      <c r="C157" s="112">
        <v>63.131999999999998</v>
      </c>
      <c r="D157" s="112">
        <v>165.28399999999999</v>
      </c>
      <c r="E157" s="112">
        <v>119.595</v>
      </c>
      <c r="F157" s="112">
        <v>67.346000000000004</v>
      </c>
      <c r="G157" s="112">
        <v>0.42399999999999999</v>
      </c>
      <c r="H157" s="122">
        <v>431.56700000000001</v>
      </c>
      <c r="I157" s="112">
        <v>8.9139999999999997</v>
      </c>
      <c r="J157" s="112">
        <v>48.987000000000002</v>
      </c>
      <c r="K157" s="112">
        <v>97.92</v>
      </c>
      <c r="L157" s="112">
        <v>115.47200000000001</v>
      </c>
      <c r="M157" s="112">
        <v>48.808999999999997</v>
      </c>
      <c r="N157" s="112">
        <v>1.6759999999999999</v>
      </c>
      <c r="O157" s="122">
        <v>321.77800000000002</v>
      </c>
      <c r="P157" s="112">
        <v>24.7</v>
      </c>
      <c r="Q157" s="112">
        <v>112.119</v>
      </c>
      <c r="R157" s="112">
        <v>263.20400000000001</v>
      </c>
      <c r="S157" s="112">
        <v>235.06700000000001</v>
      </c>
      <c r="T157" s="112">
        <v>116.155</v>
      </c>
      <c r="U157" s="112">
        <v>2.1</v>
      </c>
      <c r="V157" s="112">
        <v>753.34500000000003</v>
      </c>
    </row>
    <row r="158" spans="1:22" x14ac:dyDescent="0.2">
      <c r="A158" s="47" t="s">
        <v>77</v>
      </c>
      <c r="B158" s="112">
        <v>41.917999999999999</v>
      </c>
      <c r="C158" s="112">
        <v>172.91800000000001</v>
      </c>
      <c r="D158" s="112">
        <v>471.85900000000004</v>
      </c>
      <c r="E158" s="112">
        <v>348.69899999999996</v>
      </c>
      <c r="F158" s="112">
        <v>193.166</v>
      </c>
      <c r="G158" s="112">
        <v>0.84099999999999997</v>
      </c>
      <c r="H158" s="122">
        <v>1229.4010000000001</v>
      </c>
      <c r="I158" s="112">
        <v>23.39</v>
      </c>
      <c r="J158" s="112">
        <v>141.72999999999999</v>
      </c>
      <c r="K158" s="112">
        <v>249.45300000000003</v>
      </c>
      <c r="L158" s="112">
        <v>319.01700000000005</v>
      </c>
      <c r="M158" s="112">
        <v>141.459</v>
      </c>
      <c r="N158" s="112">
        <v>5.9450000000000003</v>
      </c>
      <c r="O158" s="122">
        <v>880.99400000000003</v>
      </c>
      <c r="P158" s="112">
        <v>65.307999999999993</v>
      </c>
      <c r="Q158" s="112">
        <v>314.64800000000002</v>
      </c>
      <c r="R158" s="112">
        <v>721.31200000000013</v>
      </c>
      <c r="S158" s="112">
        <v>667.71600000000001</v>
      </c>
      <c r="T158" s="112">
        <v>334.625</v>
      </c>
      <c r="U158" s="112">
        <v>6.7860000000000005</v>
      </c>
      <c r="V158" s="112">
        <v>2110.395</v>
      </c>
    </row>
    <row r="159" spans="1:22" x14ac:dyDescent="0.2">
      <c r="A159" s="47" t="s">
        <v>78</v>
      </c>
      <c r="B159" s="112">
        <v>14.907</v>
      </c>
      <c r="C159" s="112">
        <v>52.411000000000001</v>
      </c>
      <c r="D159" s="112">
        <v>154.59</v>
      </c>
      <c r="E159" s="112">
        <v>107.581</v>
      </c>
      <c r="F159" s="112">
        <v>62.876000000000005</v>
      </c>
      <c r="G159" s="112">
        <v>0.311</v>
      </c>
      <c r="H159" s="122">
        <v>392.67599999999999</v>
      </c>
      <c r="I159" s="112">
        <v>7.859</v>
      </c>
      <c r="J159" s="112">
        <v>48.965000000000003</v>
      </c>
      <c r="K159" s="112">
        <v>84.519000000000005</v>
      </c>
      <c r="L159" s="112">
        <v>99.271000000000001</v>
      </c>
      <c r="M159" s="112">
        <v>55.932000000000002</v>
      </c>
      <c r="N159" s="112">
        <v>0.92700000000000005</v>
      </c>
      <c r="O159" s="122">
        <v>297.47300000000001</v>
      </c>
      <c r="P159" s="112">
        <v>22.765999999999998</v>
      </c>
      <c r="Q159" s="112">
        <v>101.376</v>
      </c>
      <c r="R159" s="112">
        <v>239.10900000000001</v>
      </c>
      <c r="S159" s="112">
        <v>206.852</v>
      </c>
      <c r="T159" s="112">
        <v>118.80800000000001</v>
      </c>
      <c r="U159" s="112">
        <v>1.238</v>
      </c>
      <c r="V159" s="112">
        <v>690.149</v>
      </c>
    </row>
    <row r="160" spans="1:22" x14ac:dyDescent="0.2">
      <c r="A160" s="47" t="s">
        <v>79</v>
      </c>
      <c r="B160" s="112">
        <v>17.699000000000002</v>
      </c>
      <c r="C160" s="112">
        <v>62.695999999999998</v>
      </c>
      <c r="D160" s="112">
        <v>160.95600000000002</v>
      </c>
      <c r="E160" s="112">
        <v>116.506</v>
      </c>
      <c r="F160" s="112">
        <v>69.256</v>
      </c>
      <c r="G160" s="112">
        <v>0.19600000000000001</v>
      </c>
      <c r="H160" s="122">
        <v>427.30900000000003</v>
      </c>
      <c r="I160" s="112">
        <v>8.7520000000000007</v>
      </c>
      <c r="J160" s="112">
        <v>54.225000000000001</v>
      </c>
      <c r="K160" s="112">
        <v>95.603999999999999</v>
      </c>
      <c r="L160" s="112">
        <v>106.842</v>
      </c>
      <c r="M160" s="112">
        <v>56.056000000000004</v>
      </c>
      <c r="N160" s="112">
        <v>1.036</v>
      </c>
      <c r="O160" s="122">
        <v>322.51499999999999</v>
      </c>
      <c r="P160" s="112">
        <v>26.451000000000001</v>
      </c>
      <c r="Q160" s="112">
        <v>116.92099999999999</v>
      </c>
      <c r="R160" s="112">
        <v>256.56</v>
      </c>
      <c r="S160" s="112">
        <v>223.34800000000001</v>
      </c>
      <c r="T160" s="112">
        <v>125.31200000000001</v>
      </c>
      <c r="U160" s="112">
        <v>1.232</v>
      </c>
      <c r="V160" s="112">
        <v>749.82400000000007</v>
      </c>
    </row>
    <row r="161" spans="1:22" x14ac:dyDescent="0.2">
      <c r="A161" s="47" t="s">
        <v>89</v>
      </c>
      <c r="B161" s="112">
        <v>16.611000000000001</v>
      </c>
      <c r="C161" s="112">
        <v>73.352000000000004</v>
      </c>
      <c r="D161" s="112">
        <v>161.553</v>
      </c>
      <c r="E161" s="112">
        <v>116.53700000000001</v>
      </c>
      <c r="F161" s="112">
        <v>73.543000000000006</v>
      </c>
      <c r="G161" s="112">
        <v>6.3E-2</v>
      </c>
      <c r="H161" s="122">
        <v>441.65899999999999</v>
      </c>
      <c r="I161" s="112">
        <v>9.4749999999999996</v>
      </c>
      <c r="J161" s="112">
        <v>60.329000000000001</v>
      </c>
      <c r="K161" s="112">
        <v>110.117</v>
      </c>
      <c r="L161" s="112">
        <v>113.288</v>
      </c>
      <c r="M161" s="112">
        <v>62.15</v>
      </c>
      <c r="N161" s="112">
        <v>1.107</v>
      </c>
      <c r="O161" s="122">
        <v>356.46600000000001</v>
      </c>
      <c r="P161" s="112">
        <v>26.085999999999999</v>
      </c>
      <c r="Q161" s="112">
        <v>133.68100000000001</v>
      </c>
      <c r="R161" s="112">
        <v>271.67</v>
      </c>
      <c r="S161" s="112">
        <v>229.82499999999999</v>
      </c>
      <c r="T161" s="112">
        <v>135.69300000000001</v>
      </c>
      <c r="U161" s="112">
        <v>1.17</v>
      </c>
      <c r="V161" s="112">
        <v>798.125</v>
      </c>
    </row>
    <row r="162" spans="1:22" x14ac:dyDescent="0.2">
      <c r="A162" s="47" t="s">
        <v>80</v>
      </c>
      <c r="B162" s="112">
        <v>49.216999999999999</v>
      </c>
      <c r="C162" s="112">
        <v>188.459</v>
      </c>
      <c r="D162" s="112">
        <v>477.09900000000005</v>
      </c>
      <c r="E162" s="112">
        <v>340.62400000000002</v>
      </c>
      <c r="F162" s="112">
        <v>205.67500000000001</v>
      </c>
      <c r="G162" s="112">
        <v>0.57000000000000006</v>
      </c>
      <c r="H162" s="122">
        <v>1261.644</v>
      </c>
      <c r="I162" s="112">
        <v>26.085999999999999</v>
      </c>
      <c r="J162" s="112">
        <v>163.51900000000001</v>
      </c>
      <c r="K162" s="112">
        <v>290.24</v>
      </c>
      <c r="L162" s="112">
        <v>319.40100000000001</v>
      </c>
      <c r="M162" s="112">
        <v>174.13800000000001</v>
      </c>
      <c r="N162" s="112">
        <v>3.0700000000000003</v>
      </c>
      <c r="O162" s="122">
        <v>976.45400000000006</v>
      </c>
      <c r="P162" s="112">
        <v>75.302999999999997</v>
      </c>
      <c r="Q162" s="112">
        <v>351.97800000000001</v>
      </c>
      <c r="R162" s="112">
        <v>767.33900000000006</v>
      </c>
      <c r="S162" s="112">
        <v>660.02500000000009</v>
      </c>
      <c r="T162" s="112">
        <v>379.81299999999999</v>
      </c>
      <c r="U162" s="112">
        <v>3.6400000000000006</v>
      </c>
      <c r="V162" s="112">
        <v>2238.098</v>
      </c>
    </row>
    <row r="163" spans="1:22" x14ac:dyDescent="0.2">
      <c r="A163" s="47" t="s">
        <v>90</v>
      </c>
      <c r="B163" s="112">
        <v>13.628</v>
      </c>
      <c r="C163" s="112">
        <v>58.876000000000005</v>
      </c>
      <c r="D163" s="112">
        <v>163.62200000000001</v>
      </c>
      <c r="E163" s="112">
        <v>109.383</v>
      </c>
      <c r="F163" s="112">
        <v>72.554000000000002</v>
      </c>
      <c r="G163" s="112">
        <v>5.2000000000000005E-2</v>
      </c>
      <c r="H163" s="122">
        <v>418.11500000000001</v>
      </c>
      <c r="I163" s="112">
        <v>8.3979999999999997</v>
      </c>
      <c r="J163" s="112">
        <v>48.762</v>
      </c>
      <c r="K163" s="112">
        <v>93.070999999999998</v>
      </c>
      <c r="L163" s="112">
        <v>112.426</v>
      </c>
      <c r="M163" s="112">
        <v>55.716999999999999</v>
      </c>
      <c r="N163" s="112">
        <v>1.627</v>
      </c>
      <c r="O163" s="122">
        <v>320.00100000000003</v>
      </c>
      <c r="P163" s="112">
        <v>22.026</v>
      </c>
      <c r="Q163" s="112">
        <v>107.63800000000001</v>
      </c>
      <c r="R163" s="112">
        <v>256.69299999999998</v>
      </c>
      <c r="S163" s="112">
        <v>221.809</v>
      </c>
      <c r="T163" s="112">
        <v>128.27100000000002</v>
      </c>
      <c r="U163" s="112">
        <v>1.679</v>
      </c>
      <c r="V163" s="112">
        <v>738.11599999999999</v>
      </c>
    </row>
    <row r="164" spans="1:22" x14ac:dyDescent="0.2">
      <c r="A164" s="47" t="s">
        <v>81</v>
      </c>
      <c r="B164" s="112">
        <v>16.007000000000001</v>
      </c>
      <c r="C164" s="112">
        <v>70.668000000000006</v>
      </c>
      <c r="D164" s="112">
        <v>178.95099999999999</v>
      </c>
      <c r="E164" s="112">
        <v>123.244</v>
      </c>
      <c r="F164" s="112">
        <v>75.271000000000001</v>
      </c>
      <c r="G164" s="112">
        <v>0</v>
      </c>
      <c r="H164" s="122">
        <v>464.14100000000002</v>
      </c>
      <c r="I164" s="112">
        <v>9.6069999999999993</v>
      </c>
      <c r="J164" s="112">
        <v>83.290999999999997</v>
      </c>
      <c r="K164" s="112">
        <v>129.46199999999999</v>
      </c>
      <c r="L164" s="112">
        <v>119.926</v>
      </c>
      <c r="M164" s="112">
        <v>41.31</v>
      </c>
      <c r="N164" s="112">
        <v>2.1160000000000001</v>
      </c>
      <c r="O164" s="122">
        <v>385.71199999999999</v>
      </c>
      <c r="P164" s="112">
        <v>25.614000000000001</v>
      </c>
      <c r="Q164" s="112">
        <v>153.959</v>
      </c>
      <c r="R164" s="112">
        <v>308.41300000000001</v>
      </c>
      <c r="S164" s="112">
        <v>243.17000000000002</v>
      </c>
      <c r="T164" s="112">
        <v>116.581</v>
      </c>
      <c r="U164" s="112">
        <v>2.1160000000000001</v>
      </c>
      <c r="V164" s="112">
        <v>849.85300000000007</v>
      </c>
    </row>
    <row r="165" spans="1:22" x14ac:dyDescent="0.2">
      <c r="A165" s="47" t="s">
        <v>82</v>
      </c>
      <c r="B165" s="112">
        <v>14.167</v>
      </c>
      <c r="C165" s="112">
        <v>67.262</v>
      </c>
      <c r="D165" s="112">
        <v>179.25700000000001</v>
      </c>
      <c r="E165" s="112">
        <v>121.20700000000001</v>
      </c>
      <c r="F165" s="112">
        <v>63.423999999999999</v>
      </c>
      <c r="G165" s="112">
        <v>2.4E-2</v>
      </c>
      <c r="H165" s="122">
        <v>445.34100000000001</v>
      </c>
      <c r="I165" s="112">
        <v>8.4890000000000008</v>
      </c>
      <c r="J165" s="112">
        <v>53.057000000000002</v>
      </c>
      <c r="K165" s="112">
        <v>102.971</v>
      </c>
      <c r="L165" s="112">
        <v>102.76300000000001</v>
      </c>
      <c r="M165" s="112">
        <v>52.881</v>
      </c>
      <c r="N165" s="112">
        <v>2.4889999999999999</v>
      </c>
      <c r="O165" s="122">
        <v>322.65000000000003</v>
      </c>
      <c r="P165" s="112">
        <v>22.655999999999999</v>
      </c>
      <c r="Q165" s="112">
        <v>120.319</v>
      </c>
      <c r="R165" s="112">
        <v>282.22800000000001</v>
      </c>
      <c r="S165" s="112">
        <v>223.97000000000003</v>
      </c>
      <c r="T165" s="112">
        <v>116.30500000000001</v>
      </c>
      <c r="U165" s="112">
        <v>2.5129999999999999</v>
      </c>
      <c r="V165" s="112">
        <v>767.99099999999999</v>
      </c>
    </row>
    <row r="166" spans="1:22" x14ac:dyDescent="0.2">
      <c r="A166" s="47" t="s">
        <v>83</v>
      </c>
      <c r="B166" s="112">
        <v>43.802</v>
      </c>
      <c r="C166" s="112">
        <v>196.80600000000001</v>
      </c>
      <c r="D166" s="112">
        <v>521.82999999999993</v>
      </c>
      <c r="E166" s="112">
        <v>353.834</v>
      </c>
      <c r="F166" s="112">
        <v>211.249</v>
      </c>
      <c r="G166" s="112">
        <v>7.6000000000000012E-2</v>
      </c>
      <c r="H166" s="122">
        <v>1327.5970000000002</v>
      </c>
      <c r="I166" s="112">
        <v>26.494</v>
      </c>
      <c r="J166" s="112">
        <v>185.11</v>
      </c>
      <c r="K166" s="112">
        <v>325.50400000000002</v>
      </c>
      <c r="L166" s="112">
        <v>335.11500000000001</v>
      </c>
      <c r="M166" s="112">
        <v>149.90800000000002</v>
      </c>
      <c r="N166" s="112">
        <v>6.2320000000000002</v>
      </c>
      <c r="O166" s="122">
        <v>1028.3630000000001</v>
      </c>
      <c r="P166" s="112">
        <v>70.295999999999992</v>
      </c>
      <c r="Q166" s="112">
        <v>381.91600000000005</v>
      </c>
      <c r="R166" s="112">
        <v>847.33399999999995</v>
      </c>
      <c r="S166" s="112">
        <v>688.94900000000007</v>
      </c>
      <c r="T166" s="112">
        <v>361.15700000000004</v>
      </c>
      <c r="U166" s="112">
        <v>6.3079999999999998</v>
      </c>
      <c r="V166" s="112">
        <v>2355.96</v>
      </c>
    </row>
    <row r="167" spans="1:22" x14ac:dyDescent="0.2">
      <c r="A167" s="47" t="s">
        <v>85</v>
      </c>
      <c r="B167" s="112">
        <v>15.889000000000001</v>
      </c>
      <c r="C167" s="112">
        <v>68.947000000000003</v>
      </c>
      <c r="D167" s="112">
        <v>168.35499999999999</v>
      </c>
      <c r="E167" s="112">
        <v>124.904</v>
      </c>
      <c r="F167" s="112">
        <v>74.459000000000003</v>
      </c>
      <c r="G167" s="112">
        <v>0.09</v>
      </c>
      <c r="H167" s="122">
        <v>452.64400000000001</v>
      </c>
      <c r="I167" s="112">
        <v>10.332000000000001</v>
      </c>
      <c r="J167" s="112">
        <v>64.241</v>
      </c>
      <c r="K167" s="112">
        <v>96.957999999999998</v>
      </c>
      <c r="L167" s="112">
        <v>115.57300000000001</v>
      </c>
      <c r="M167" s="112">
        <v>68.307000000000002</v>
      </c>
      <c r="N167" s="112">
        <v>2.4550000000000001</v>
      </c>
      <c r="O167" s="122">
        <v>357.86599999999999</v>
      </c>
      <c r="P167" s="112">
        <v>26.221000000000004</v>
      </c>
      <c r="Q167" s="112">
        <v>133.18799999999999</v>
      </c>
      <c r="R167" s="112">
        <v>265.31299999999999</v>
      </c>
      <c r="S167" s="112">
        <v>240.477</v>
      </c>
      <c r="T167" s="112">
        <v>142.76600000000002</v>
      </c>
      <c r="U167" s="112">
        <v>2.5449999999999999</v>
      </c>
      <c r="V167" s="112">
        <v>810.51</v>
      </c>
    </row>
    <row r="168" spans="1:22" x14ac:dyDescent="0.2">
      <c r="A168" s="47" t="s">
        <v>86</v>
      </c>
      <c r="B168" s="112">
        <v>15.442</v>
      </c>
      <c r="C168" s="112">
        <v>67.671999999999997</v>
      </c>
      <c r="D168" s="112">
        <v>153.571</v>
      </c>
      <c r="E168" s="112">
        <v>119.009</v>
      </c>
      <c r="F168" s="112">
        <v>64.948999999999998</v>
      </c>
      <c r="G168" s="112">
        <v>0</v>
      </c>
      <c r="H168" s="122">
        <v>420.64100000000002</v>
      </c>
      <c r="I168" s="112">
        <v>9.2550000000000008</v>
      </c>
      <c r="J168" s="112">
        <v>54.222000000000001</v>
      </c>
      <c r="K168" s="112">
        <v>78.936000000000007</v>
      </c>
      <c r="L168" s="112">
        <v>119.619</v>
      </c>
      <c r="M168" s="112">
        <v>55.881999999999998</v>
      </c>
      <c r="N168" s="112">
        <v>2.52</v>
      </c>
      <c r="O168" s="122">
        <v>320.43599999999998</v>
      </c>
      <c r="P168" s="112">
        <v>24.697000000000003</v>
      </c>
      <c r="Q168" s="112">
        <v>121.89400000000001</v>
      </c>
      <c r="R168" s="112">
        <v>232.50700000000001</v>
      </c>
      <c r="S168" s="112">
        <v>238.62799999999999</v>
      </c>
      <c r="T168" s="112">
        <v>120.83099999999999</v>
      </c>
      <c r="U168" s="112">
        <v>2.52</v>
      </c>
      <c r="V168" s="112">
        <v>741.077</v>
      </c>
    </row>
    <row r="169" spans="1:22" x14ac:dyDescent="0.2">
      <c r="A169" s="47" t="s">
        <v>87</v>
      </c>
      <c r="B169" s="112">
        <v>14.173999999999999</v>
      </c>
      <c r="C169" s="112">
        <v>56.881999999999998</v>
      </c>
      <c r="D169" s="112">
        <v>133.477</v>
      </c>
      <c r="E169" s="112">
        <v>103.53700000000001</v>
      </c>
      <c r="F169" s="112">
        <v>55.497</v>
      </c>
      <c r="G169" s="112">
        <v>2.4E-2</v>
      </c>
      <c r="H169" s="122">
        <v>363.58600000000001</v>
      </c>
      <c r="I169" s="112">
        <v>7.6859999999999999</v>
      </c>
      <c r="J169" s="112">
        <v>50.012999999999998</v>
      </c>
      <c r="K169" s="112">
        <v>88.132999999999996</v>
      </c>
      <c r="L169" s="112">
        <v>104.578</v>
      </c>
      <c r="M169" s="112">
        <v>39.395000000000003</v>
      </c>
      <c r="N169" s="112">
        <v>2.5550000000000002</v>
      </c>
      <c r="O169" s="122">
        <v>292.358</v>
      </c>
      <c r="P169" s="112">
        <v>21.86</v>
      </c>
      <c r="Q169" s="112">
        <v>106.895</v>
      </c>
      <c r="R169" s="112">
        <v>221.61</v>
      </c>
      <c r="S169" s="112">
        <v>208.11500000000001</v>
      </c>
      <c r="T169" s="112">
        <v>94.891999999999996</v>
      </c>
      <c r="U169" s="112">
        <v>2.5790000000000002</v>
      </c>
      <c r="V169" s="112">
        <v>655.94399999999996</v>
      </c>
    </row>
    <row r="170" spans="1:22" x14ac:dyDescent="0.2">
      <c r="A170" s="47" t="s">
        <v>84</v>
      </c>
      <c r="B170" s="112">
        <v>45.505000000000003</v>
      </c>
      <c r="C170" s="112">
        <v>193.501</v>
      </c>
      <c r="D170" s="112">
        <v>455.40300000000002</v>
      </c>
      <c r="E170" s="112">
        <v>347.45000000000005</v>
      </c>
      <c r="F170" s="112">
        <v>194.90500000000003</v>
      </c>
      <c r="G170" s="112">
        <v>0.11399999999999999</v>
      </c>
      <c r="H170" s="122">
        <v>1236.8710000000001</v>
      </c>
      <c r="I170" s="112">
        <v>27.273000000000003</v>
      </c>
      <c r="J170" s="112">
        <v>168.476</v>
      </c>
      <c r="K170" s="112">
        <v>264.02699999999999</v>
      </c>
      <c r="L170" s="112">
        <v>339.77</v>
      </c>
      <c r="M170" s="112">
        <v>163.584</v>
      </c>
      <c r="N170" s="112">
        <v>7.5299999999999994</v>
      </c>
      <c r="O170" s="122">
        <v>970.65999999999985</v>
      </c>
      <c r="P170" s="112">
        <v>72.778000000000006</v>
      </c>
      <c r="Q170" s="112">
        <v>361.97699999999998</v>
      </c>
      <c r="R170" s="112">
        <v>719.43000000000006</v>
      </c>
      <c r="S170" s="112">
        <v>687.22</v>
      </c>
      <c r="T170" s="112">
        <v>358.48900000000003</v>
      </c>
      <c r="U170" s="112">
        <v>7.6439999999999992</v>
      </c>
      <c r="V170" s="112">
        <v>2207.5309999999999</v>
      </c>
    </row>
    <row r="171" spans="1:22" x14ac:dyDescent="0.2">
      <c r="A171" s="114"/>
      <c r="B171" s="112"/>
      <c r="C171" s="112"/>
      <c r="D171" s="112"/>
      <c r="E171" s="112"/>
      <c r="F171" s="112"/>
      <c r="G171" s="112"/>
      <c r="H171" s="122"/>
      <c r="I171" s="112"/>
      <c r="J171" s="112"/>
      <c r="K171" s="112"/>
      <c r="L171" s="112"/>
      <c r="M171" s="112"/>
      <c r="N171" s="112"/>
      <c r="O171" s="122"/>
      <c r="P171" s="112"/>
      <c r="Q171" s="112"/>
      <c r="R171" s="112"/>
      <c r="S171" s="112"/>
      <c r="T171" s="112"/>
      <c r="U171" s="112"/>
      <c r="V171" s="112"/>
    </row>
    <row r="172" spans="1:22" x14ac:dyDescent="0.2">
      <c r="A172" s="114">
        <v>2007</v>
      </c>
      <c r="B172" s="112"/>
      <c r="C172" s="112"/>
      <c r="D172" s="112"/>
      <c r="E172" s="112"/>
      <c r="F172" s="112"/>
      <c r="G172" s="112"/>
      <c r="H172" s="122"/>
      <c r="I172" s="112"/>
      <c r="J172" s="112"/>
      <c r="K172" s="112"/>
      <c r="L172" s="112"/>
      <c r="M172" s="112"/>
      <c r="N172" s="112"/>
      <c r="O172" s="122"/>
      <c r="P172" s="112"/>
      <c r="Q172" s="112"/>
      <c r="R172" s="112"/>
      <c r="S172" s="112"/>
      <c r="T172" s="112"/>
      <c r="U172" s="112"/>
      <c r="V172" s="112"/>
    </row>
    <row r="173" spans="1:22" x14ac:dyDescent="0.2">
      <c r="A173" s="47" t="s">
        <v>74</v>
      </c>
      <c r="B173" s="112">
        <v>14.554</v>
      </c>
      <c r="C173" s="112">
        <v>61.795000000000002</v>
      </c>
      <c r="D173" s="112">
        <v>157.74100000000001</v>
      </c>
      <c r="E173" s="112">
        <v>132.93600000000001</v>
      </c>
      <c r="F173" s="112">
        <v>65.222000000000008</v>
      </c>
      <c r="G173" s="112">
        <v>7.1000000000000008E-2</v>
      </c>
      <c r="H173" s="122">
        <v>432.32100000000003</v>
      </c>
      <c r="I173" s="112">
        <v>8.1180000000000003</v>
      </c>
      <c r="J173" s="112">
        <v>55.548999999999999</v>
      </c>
      <c r="K173" s="112">
        <v>73.828000000000003</v>
      </c>
      <c r="L173" s="112">
        <v>90.039000000000001</v>
      </c>
      <c r="M173" s="112">
        <v>44.453000000000003</v>
      </c>
      <c r="N173" s="112">
        <v>2.181</v>
      </c>
      <c r="O173" s="122">
        <v>274.16700000000003</v>
      </c>
      <c r="P173" s="112">
        <v>22.672000000000001</v>
      </c>
      <c r="Q173" s="112">
        <v>117.34399999999999</v>
      </c>
      <c r="R173" s="112">
        <v>231.56900000000002</v>
      </c>
      <c r="S173" s="112">
        <v>222.97500000000002</v>
      </c>
      <c r="T173" s="112">
        <v>109.67500000000001</v>
      </c>
      <c r="U173" s="112">
        <v>2.2520000000000002</v>
      </c>
      <c r="V173" s="112">
        <v>706.48800000000006</v>
      </c>
    </row>
    <row r="174" spans="1:22" x14ac:dyDescent="0.2">
      <c r="A174" s="47" t="s">
        <v>75</v>
      </c>
      <c r="B174" s="112">
        <v>13.113</v>
      </c>
      <c r="C174" s="112">
        <v>57.532000000000004</v>
      </c>
      <c r="D174" s="112">
        <v>156.02500000000001</v>
      </c>
      <c r="E174" s="112">
        <v>120.71900000000001</v>
      </c>
      <c r="F174" s="112">
        <v>58.911000000000001</v>
      </c>
      <c r="G174" s="112">
        <v>6.9000000000000006E-2</v>
      </c>
      <c r="H174" s="122">
        <v>406.37</v>
      </c>
      <c r="I174" s="112">
        <v>7.2460000000000004</v>
      </c>
      <c r="J174" s="112">
        <v>48.097999999999999</v>
      </c>
      <c r="K174" s="112">
        <v>73.037000000000006</v>
      </c>
      <c r="L174" s="112">
        <v>86.93</v>
      </c>
      <c r="M174" s="112">
        <v>33.963999999999999</v>
      </c>
      <c r="N174" s="112">
        <v>2.0910000000000002</v>
      </c>
      <c r="O174" s="122">
        <v>251.36700000000002</v>
      </c>
      <c r="P174" s="112">
        <v>20.359000000000002</v>
      </c>
      <c r="Q174" s="112">
        <v>105.63</v>
      </c>
      <c r="R174" s="112">
        <v>229.06200000000001</v>
      </c>
      <c r="S174" s="112">
        <v>207.649</v>
      </c>
      <c r="T174" s="112">
        <v>92.875</v>
      </c>
      <c r="U174" s="112">
        <v>2.16</v>
      </c>
      <c r="V174" s="112">
        <v>657.73700000000008</v>
      </c>
    </row>
    <row r="175" spans="1:22" x14ac:dyDescent="0.2">
      <c r="A175" s="47" t="s">
        <v>76</v>
      </c>
      <c r="B175" s="112">
        <v>16.103999999999999</v>
      </c>
      <c r="C175" s="112">
        <v>68.489000000000004</v>
      </c>
      <c r="D175" s="112">
        <v>164.98599999999999</v>
      </c>
      <c r="E175" s="112">
        <v>137.64099999999999</v>
      </c>
      <c r="F175" s="112">
        <v>69.587000000000003</v>
      </c>
      <c r="G175" s="112">
        <v>0.16800000000000001</v>
      </c>
      <c r="H175" s="122">
        <v>456.97500000000002</v>
      </c>
      <c r="I175" s="112">
        <v>9.0730000000000004</v>
      </c>
      <c r="J175" s="112">
        <v>64.171000000000006</v>
      </c>
      <c r="K175" s="112">
        <v>94.814999999999998</v>
      </c>
      <c r="L175" s="112">
        <v>115.09400000000001</v>
      </c>
      <c r="M175" s="112">
        <v>49.072000000000003</v>
      </c>
      <c r="N175" s="112">
        <v>2.8170000000000002</v>
      </c>
      <c r="O175" s="122">
        <v>335.041</v>
      </c>
      <c r="P175" s="112">
        <v>25.177</v>
      </c>
      <c r="Q175" s="112">
        <v>132.66000000000003</v>
      </c>
      <c r="R175" s="112">
        <v>259.80099999999999</v>
      </c>
      <c r="S175" s="112">
        <v>252.73500000000001</v>
      </c>
      <c r="T175" s="112">
        <v>118.65900000000001</v>
      </c>
      <c r="U175" s="112">
        <v>2.9850000000000003</v>
      </c>
      <c r="V175" s="112">
        <v>792.01600000000008</v>
      </c>
    </row>
    <row r="176" spans="1:22" x14ac:dyDescent="0.2">
      <c r="A176" s="47" t="s">
        <v>77</v>
      </c>
      <c r="B176" s="112">
        <v>43.771000000000001</v>
      </c>
      <c r="C176" s="112">
        <v>187.816</v>
      </c>
      <c r="D176" s="112">
        <v>478.75200000000001</v>
      </c>
      <c r="E176" s="112">
        <v>391.29600000000005</v>
      </c>
      <c r="F176" s="112">
        <v>193.72000000000003</v>
      </c>
      <c r="G176" s="112">
        <v>0.30800000000000005</v>
      </c>
      <c r="H176" s="122">
        <v>1295.6660000000002</v>
      </c>
      <c r="I176" s="112">
        <v>24.437000000000001</v>
      </c>
      <c r="J176" s="112">
        <v>167.81799999999998</v>
      </c>
      <c r="K176" s="112">
        <v>241.68</v>
      </c>
      <c r="L176" s="112">
        <v>292.06299999999999</v>
      </c>
      <c r="M176" s="112">
        <v>127.489</v>
      </c>
      <c r="N176" s="112">
        <v>7.0890000000000004</v>
      </c>
      <c r="O176" s="122">
        <v>860.57500000000005</v>
      </c>
      <c r="P176" s="112">
        <v>68.207999999999998</v>
      </c>
      <c r="Q176" s="112">
        <v>355.63400000000001</v>
      </c>
      <c r="R176" s="112">
        <v>720.43200000000002</v>
      </c>
      <c r="S176" s="112">
        <v>683.35900000000004</v>
      </c>
      <c r="T176" s="112">
        <v>321.20900000000006</v>
      </c>
      <c r="U176" s="112">
        <v>7.3970000000000002</v>
      </c>
      <c r="V176" s="112">
        <v>2156.241</v>
      </c>
    </row>
    <row r="177" spans="1:22" x14ac:dyDescent="0.2">
      <c r="A177" s="47" t="s">
        <v>78</v>
      </c>
      <c r="B177" s="112">
        <v>15.068</v>
      </c>
      <c r="C177" s="112">
        <v>65.477999999999994</v>
      </c>
      <c r="D177" s="112">
        <v>169.108</v>
      </c>
      <c r="E177" s="112">
        <v>130.74299999999999</v>
      </c>
      <c r="F177" s="112">
        <v>75.507999999999996</v>
      </c>
      <c r="G177" s="112">
        <v>2.5000000000000001E-2</v>
      </c>
      <c r="H177" s="122">
        <v>455.92900000000003</v>
      </c>
      <c r="I177" s="112">
        <v>8.2989999999999995</v>
      </c>
      <c r="J177" s="112">
        <v>60.68</v>
      </c>
      <c r="K177" s="112">
        <v>92.787000000000006</v>
      </c>
      <c r="L177" s="112">
        <v>100.53700000000001</v>
      </c>
      <c r="M177" s="112">
        <v>63.401000000000003</v>
      </c>
      <c r="N177" s="112">
        <v>2.0699999999999998</v>
      </c>
      <c r="O177" s="122">
        <v>327.77300000000002</v>
      </c>
      <c r="P177" s="112">
        <v>23.366999999999997</v>
      </c>
      <c r="Q177" s="112">
        <v>126.15799999999999</v>
      </c>
      <c r="R177" s="112">
        <v>261.89499999999998</v>
      </c>
      <c r="S177" s="112">
        <v>231.28</v>
      </c>
      <c r="T177" s="112">
        <v>138.90899999999999</v>
      </c>
      <c r="U177" s="112">
        <v>2.0949999999999998</v>
      </c>
      <c r="V177" s="112">
        <v>783.702</v>
      </c>
    </row>
    <row r="178" spans="1:22" x14ac:dyDescent="0.2">
      <c r="A178" s="47" t="s">
        <v>79</v>
      </c>
      <c r="B178" s="112">
        <v>17.175000000000001</v>
      </c>
      <c r="C178" s="112">
        <v>74.608000000000004</v>
      </c>
      <c r="D178" s="112">
        <v>178.142</v>
      </c>
      <c r="E178" s="112">
        <v>139.55799999999999</v>
      </c>
      <c r="F178" s="112">
        <v>69.725999999999999</v>
      </c>
      <c r="G178" s="112">
        <v>9.2999999999999999E-2</v>
      </c>
      <c r="H178" s="122">
        <v>479.30099999999999</v>
      </c>
      <c r="I178" s="112">
        <v>9.0779999999999994</v>
      </c>
      <c r="J178" s="112">
        <v>56.756999999999998</v>
      </c>
      <c r="K178" s="112">
        <v>97.784999999999997</v>
      </c>
      <c r="L178" s="112">
        <v>110.477</v>
      </c>
      <c r="M178" s="112">
        <v>49.728999999999999</v>
      </c>
      <c r="N178" s="112">
        <v>2.3810000000000002</v>
      </c>
      <c r="O178" s="122">
        <v>326.209</v>
      </c>
      <c r="P178" s="112">
        <v>26.253</v>
      </c>
      <c r="Q178" s="112">
        <v>131.36500000000001</v>
      </c>
      <c r="R178" s="112">
        <v>275.92700000000002</v>
      </c>
      <c r="S178" s="112">
        <v>250.035</v>
      </c>
      <c r="T178" s="112">
        <v>119.455</v>
      </c>
      <c r="U178" s="112">
        <v>2.4740000000000002</v>
      </c>
      <c r="V178" s="112">
        <v>805.51</v>
      </c>
    </row>
    <row r="179" spans="1:22" x14ac:dyDescent="0.2">
      <c r="A179" s="47" t="s">
        <v>89</v>
      </c>
      <c r="B179" s="112">
        <v>16.318999999999999</v>
      </c>
      <c r="C179" s="112">
        <v>67.492000000000004</v>
      </c>
      <c r="D179" s="112">
        <v>170.642</v>
      </c>
      <c r="E179" s="112">
        <v>137.16499999999999</v>
      </c>
      <c r="F179" s="112">
        <v>75.849000000000004</v>
      </c>
      <c r="G179" s="112">
        <v>2.3E-2</v>
      </c>
      <c r="H179" s="122">
        <v>467.49200000000002</v>
      </c>
      <c r="I179" s="112">
        <v>8.9209999999999994</v>
      </c>
      <c r="J179" s="112">
        <v>60.234000000000002</v>
      </c>
      <c r="K179" s="112">
        <v>97.671000000000006</v>
      </c>
      <c r="L179" s="112">
        <v>102.17100000000001</v>
      </c>
      <c r="M179" s="112">
        <v>54.672000000000004</v>
      </c>
      <c r="N179" s="112">
        <v>2.2869999999999999</v>
      </c>
      <c r="O179" s="122">
        <v>325.95499999999998</v>
      </c>
      <c r="P179" s="112">
        <v>25.24</v>
      </c>
      <c r="Q179" s="112">
        <v>127.726</v>
      </c>
      <c r="R179" s="112">
        <v>268.31299999999999</v>
      </c>
      <c r="S179" s="112">
        <v>239.33600000000001</v>
      </c>
      <c r="T179" s="112">
        <v>130.52100000000002</v>
      </c>
      <c r="U179" s="112">
        <v>2.31</v>
      </c>
      <c r="V179" s="112">
        <v>793.447</v>
      </c>
    </row>
    <row r="180" spans="1:22" x14ac:dyDescent="0.2">
      <c r="A180" s="47" t="s">
        <v>80</v>
      </c>
      <c r="B180" s="112">
        <v>48.561999999999998</v>
      </c>
      <c r="C180" s="112">
        <v>207.57800000000003</v>
      </c>
      <c r="D180" s="112">
        <v>517.89200000000005</v>
      </c>
      <c r="E180" s="112">
        <v>407.46600000000001</v>
      </c>
      <c r="F180" s="112">
        <v>221.08299999999997</v>
      </c>
      <c r="G180" s="112">
        <v>0.14099999999999999</v>
      </c>
      <c r="H180" s="122">
        <v>1402.722</v>
      </c>
      <c r="I180" s="112">
        <v>26.297999999999998</v>
      </c>
      <c r="J180" s="112">
        <v>177.67099999999999</v>
      </c>
      <c r="K180" s="112">
        <v>288.24299999999999</v>
      </c>
      <c r="L180" s="112">
        <v>313.185</v>
      </c>
      <c r="M180" s="112">
        <v>167.80199999999999</v>
      </c>
      <c r="N180" s="112">
        <v>6.7380000000000004</v>
      </c>
      <c r="O180" s="122">
        <v>979.9369999999999</v>
      </c>
      <c r="P180" s="112">
        <v>74.86</v>
      </c>
      <c r="Q180" s="112">
        <v>385.24900000000002</v>
      </c>
      <c r="R180" s="112">
        <v>806.13499999999999</v>
      </c>
      <c r="S180" s="112">
        <v>720.65100000000007</v>
      </c>
      <c r="T180" s="112">
        <v>388.88499999999999</v>
      </c>
      <c r="U180" s="112">
        <v>6.8790000000000004</v>
      </c>
      <c r="V180" s="112">
        <v>2382.6589999999997</v>
      </c>
    </row>
    <row r="181" spans="1:22" x14ac:dyDescent="0.2">
      <c r="A181" s="47" t="s">
        <v>90</v>
      </c>
      <c r="B181" s="112">
        <v>14.465</v>
      </c>
      <c r="C181" s="112">
        <v>67.192999999999998</v>
      </c>
      <c r="D181" s="112">
        <v>180.13200000000001</v>
      </c>
      <c r="E181" s="112">
        <v>131.49600000000001</v>
      </c>
      <c r="F181" s="112">
        <v>70.695999999999998</v>
      </c>
      <c r="G181" s="112">
        <v>0</v>
      </c>
      <c r="H181" s="122">
        <v>463.98099999999999</v>
      </c>
      <c r="I181" s="112">
        <v>8.4890000000000008</v>
      </c>
      <c r="J181" s="112">
        <v>53.517000000000003</v>
      </c>
      <c r="K181" s="112">
        <v>96.745000000000005</v>
      </c>
      <c r="L181" s="112">
        <v>107.73</v>
      </c>
      <c r="M181" s="112">
        <v>49.120000000000005</v>
      </c>
      <c r="N181" s="112">
        <v>2.7450000000000001</v>
      </c>
      <c r="O181" s="122">
        <v>318.346</v>
      </c>
      <c r="P181" s="112">
        <v>22.954000000000001</v>
      </c>
      <c r="Q181" s="112">
        <v>120.71000000000001</v>
      </c>
      <c r="R181" s="112">
        <v>276.87700000000001</v>
      </c>
      <c r="S181" s="112">
        <v>239.226</v>
      </c>
      <c r="T181" s="112">
        <v>119.816</v>
      </c>
      <c r="U181" s="112">
        <v>2.7450000000000001</v>
      </c>
      <c r="V181" s="112">
        <v>782.327</v>
      </c>
    </row>
    <row r="182" spans="1:22" x14ac:dyDescent="0.2">
      <c r="A182" s="47" t="s">
        <v>81</v>
      </c>
      <c r="B182" s="112">
        <v>16.645</v>
      </c>
      <c r="C182" s="112">
        <v>77.820000000000007</v>
      </c>
      <c r="D182" s="112">
        <v>195.05700000000002</v>
      </c>
      <c r="E182" s="112">
        <v>143.97999999999999</v>
      </c>
      <c r="F182" s="112">
        <v>81.128</v>
      </c>
      <c r="G182" s="112">
        <v>4.7E-2</v>
      </c>
      <c r="H182" s="122">
        <v>514.678</v>
      </c>
      <c r="I182" s="112">
        <v>10.023</v>
      </c>
      <c r="J182" s="112">
        <v>68.777000000000001</v>
      </c>
      <c r="K182" s="112">
        <v>120.473</v>
      </c>
      <c r="L182" s="112">
        <v>118.66</v>
      </c>
      <c r="M182" s="112">
        <v>67.801000000000002</v>
      </c>
      <c r="N182" s="112">
        <v>2.6150000000000002</v>
      </c>
      <c r="O182" s="122">
        <v>388.346</v>
      </c>
      <c r="P182" s="112">
        <v>26.667999999999999</v>
      </c>
      <c r="Q182" s="112">
        <v>146.59700000000001</v>
      </c>
      <c r="R182" s="112">
        <v>315.53000000000003</v>
      </c>
      <c r="S182" s="112">
        <v>262.64</v>
      </c>
      <c r="T182" s="112">
        <v>148.929</v>
      </c>
      <c r="U182" s="112">
        <v>2.6620000000000004</v>
      </c>
      <c r="V182" s="112">
        <v>903.024</v>
      </c>
    </row>
    <row r="183" spans="1:22" x14ac:dyDescent="0.2">
      <c r="A183" s="47" t="s">
        <v>82</v>
      </c>
      <c r="B183" s="112">
        <v>15.079000000000001</v>
      </c>
      <c r="C183" s="112">
        <v>68.733000000000004</v>
      </c>
      <c r="D183" s="112">
        <v>181.15899999999999</v>
      </c>
      <c r="E183" s="112">
        <v>130.422</v>
      </c>
      <c r="F183" s="112">
        <v>67.129000000000005</v>
      </c>
      <c r="G183" s="112">
        <v>0</v>
      </c>
      <c r="H183" s="122">
        <v>462.52100000000002</v>
      </c>
      <c r="I183" s="112">
        <v>9.1850000000000005</v>
      </c>
      <c r="J183" s="112">
        <v>56.451999999999998</v>
      </c>
      <c r="K183" s="112">
        <v>108.468</v>
      </c>
      <c r="L183" s="112">
        <v>115.761</v>
      </c>
      <c r="M183" s="112">
        <v>53.075000000000003</v>
      </c>
      <c r="N183" s="112">
        <v>3.0220000000000002</v>
      </c>
      <c r="O183" s="122">
        <v>345.96</v>
      </c>
      <c r="P183" s="112">
        <v>24.264000000000003</v>
      </c>
      <c r="Q183" s="112">
        <v>125.185</v>
      </c>
      <c r="R183" s="112">
        <v>289.62700000000001</v>
      </c>
      <c r="S183" s="112">
        <v>246.18299999999999</v>
      </c>
      <c r="T183" s="112">
        <v>120.20400000000001</v>
      </c>
      <c r="U183" s="112">
        <v>3.0220000000000002</v>
      </c>
      <c r="V183" s="112">
        <v>808.48099999999999</v>
      </c>
    </row>
    <row r="184" spans="1:22" x14ac:dyDescent="0.2">
      <c r="A184" s="47" t="s">
        <v>83</v>
      </c>
      <c r="B184" s="112">
        <v>46.189</v>
      </c>
      <c r="C184" s="112">
        <v>213.74600000000001</v>
      </c>
      <c r="D184" s="112">
        <v>556.34799999999996</v>
      </c>
      <c r="E184" s="112">
        <v>405.89800000000002</v>
      </c>
      <c r="F184" s="112">
        <v>218.95300000000003</v>
      </c>
      <c r="G184" s="112">
        <v>4.7E-2</v>
      </c>
      <c r="H184" s="122">
        <v>1441.18</v>
      </c>
      <c r="I184" s="112">
        <v>27.697000000000003</v>
      </c>
      <c r="J184" s="112">
        <v>178.74600000000001</v>
      </c>
      <c r="K184" s="112">
        <v>325.68600000000004</v>
      </c>
      <c r="L184" s="112">
        <v>342.15099999999995</v>
      </c>
      <c r="M184" s="112">
        <v>169.99600000000001</v>
      </c>
      <c r="N184" s="112">
        <v>8.3820000000000014</v>
      </c>
      <c r="O184" s="122">
        <v>1052.652</v>
      </c>
      <c r="P184" s="112">
        <v>73.885999999999996</v>
      </c>
      <c r="Q184" s="112">
        <v>392.49200000000002</v>
      </c>
      <c r="R184" s="112">
        <v>882.03399999999999</v>
      </c>
      <c r="S184" s="112">
        <v>748.04899999999998</v>
      </c>
      <c r="T184" s="112">
        <v>388.94900000000007</v>
      </c>
      <c r="U184" s="112">
        <v>8.429000000000002</v>
      </c>
      <c r="V184" s="112">
        <v>2493.8320000000003</v>
      </c>
    </row>
    <row r="185" spans="1:22" x14ac:dyDescent="0.2">
      <c r="A185" s="47" t="s">
        <v>85</v>
      </c>
      <c r="B185" s="112">
        <v>15.388</v>
      </c>
      <c r="C185" s="112">
        <v>62.32</v>
      </c>
      <c r="D185" s="112">
        <v>180.69900000000001</v>
      </c>
      <c r="E185" s="112">
        <v>132.18299999999999</v>
      </c>
      <c r="F185" s="112">
        <v>91.302000000000007</v>
      </c>
      <c r="G185" s="112">
        <v>3.4000000000000002E-2</v>
      </c>
      <c r="H185" s="122">
        <v>481.928</v>
      </c>
      <c r="I185" s="112">
        <v>8.5779999999999994</v>
      </c>
      <c r="J185" s="112">
        <v>57.128999999999998</v>
      </c>
      <c r="K185" s="112">
        <v>95.242000000000004</v>
      </c>
      <c r="L185" s="112">
        <v>112.899</v>
      </c>
      <c r="M185" s="112">
        <v>76.146000000000001</v>
      </c>
      <c r="N185" s="112">
        <v>2.1219999999999999</v>
      </c>
      <c r="O185" s="122">
        <v>352.11400000000003</v>
      </c>
      <c r="P185" s="112">
        <v>23.966000000000001</v>
      </c>
      <c r="Q185" s="112">
        <v>119.449</v>
      </c>
      <c r="R185" s="112">
        <v>275.94100000000003</v>
      </c>
      <c r="S185" s="112">
        <v>245.08199999999999</v>
      </c>
      <c r="T185" s="112">
        <v>167.44800000000001</v>
      </c>
      <c r="U185" s="112">
        <v>2.1559999999999997</v>
      </c>
      <c r="V185" s="112">
        <v>834.04200000000003</v>
      </c>
    </row>
    <row r="186" spans="1:22" x14ac:dyDescent="0.2">
      <c r="A186" s="47" t="s">
        <v>86</v>
      </c>
      <c r="B186" s="112">
        <v>16.184000000000001</v>
      </c>
      <c r="C186" s="112">
        <v>72.754999999999995</v>
      </c>
      <c r="D186" s="112">
        <v>165.547</v>
      </c>
      <c r="E186" s="112">
        <v>129.22999999999999</v>
      </c>
      <c r="F186" s="112">
        <v>77.375</v>
      </c>
      <c r="G186" s="112">
        <v>6.8000000000000005E-2</v>
      </c>
      <c r="H186" s="122">
        <v>461.15600000000001</v>
      </c>
      <c r="I186" s="112">
        <v>9.6920000000000002</v>
      </c>
      <c r="J186" s="112">
        <v>69.302000000000007</v>
      </c>
      <c r="K186" s="112">
        <v>99.33</v>
      </c>
      <c r="L186" s="112">
        <v>116.785</v>
      </c>
      <c r="M186" s="112">
        <v>66.834000000000003</v>
      </c>
      <c r="N186" s="112">
        <v>2.722</v>
      </c>
      <c r="O186" s="122">
        <v>364.66300000000001</v>
      </c>
      <c r="P186" s="112">
        <v>25.876000000000001</v>
      </c>
      <c r="Q186" s="112">
        <v>142.05700000000002</v>
      </c>
      <c r="R186" s="112">
        <v>264.87700000000001</v>
      </c>
      <c r="S186" s="112">
        <v>246.01499999999999</v>
      </c>
      <c r="T186" s="112">
        <v>144.209</v>
      </c>
      <c r="U186" s="112">
        <v>2.79</v>
      </c>
      <c r="V186" s="112">
        <v>825.81899999999996</v>
      </c>
    </row>
    <row r="187" spans="1:22" x14ac:dyDescent="0.2">
      <c r="A187" s="47" t="s">
        <v>87</v>
      </c>
      <c r="B187" s="112">
        <v>12.76</v>
      </c>
      <c r="C187" s="112">
        <v>55.846000000000004</v>
      </c>
      <c r="D187" s="112">
        <v>135.00700000000001</v>
      </c>
      <c r="E187" s="112">
        <v>113.217</v>
      </c>
      <c r="F187" s="112">
        <v>60.749000000000002</v>
      </c>
      <c r="G187" s="112">
        <v>2.3E-2</v>
      </c>
      <c r="H187" s="122">
        <v>377.6</v>
      </c>
      <c r="I187" s="112">
        <v>7.9359999999999999</v>
      </c>
      <c r="J187" s="112">
        <v>52.923999999999999</v>
      </c>
      <c r="K187" s="112">
        <v>75.114999999999995</v>
      </c>
      <c r="L187" s="112">
        <v>97.067999999999998</v>
      </c>
      <c r="M187" s="112">
        <v>42.645000000000003</v>
      </c>
      <c r="N187" s="112">
        <v>2.56</v>
      </c>
      <c r="O187" s="122">
        <v>278.24700000000001</v>
      </c>
      <c r="P187" s="112">
        <v>20.695999999999998</v>
      </c>
      <c r="Q187" s="112">
        <v>108.77000000000001</v>
      </c>
      <c r="R187" s="112">
        <v>210.12200000000001</v>
      </c>
      <c r="S187" s="112">
        <v>210.285</v>
      </c>
      <c r="T187" s="112">
        <v>103.39400000000001</v>
      </c>
      <c r="U187" s="112">
        <v>2.5830000000000002</v>
      </c>
      <c r="V187" s="112">
        <v>655.84699999999998</v>
      </c>
    </row>
    <row r="188" spans="1:22" x14ac:dyDescent="0.2">
      <c r="A188" s="47" t="s">
        <v>84</v>
      </c>
      <c r="B188" s="112">
        <v>44.332000000000001</v>
      </c>
      <c r="C188" s="112">
        <v>190.92099999999999</v>
      </c>
      <c r="D188" s="112">
        <v>481.25299999999999</v>
      </c>
      <c r="E188" s="112">
        <v>374.63</v>
      </c>
      <c r="F188" s="112">
        <v>229.42600000000002</v>
      </c>
      <c r="G188" s="112">
        <v>0.125</v>
      </c>
      <c r="H188" s="122">
        <v>1320.6840000000002</v>
      </c>
      <c r="I188" s="112">
        <v>26.206</v>
      </c>
      <c r="J188" s="112">
        <v>179.35500000000002</v>
      </c>
      <c r="K188" s="112">
        <v>269.68700000000001</v>
      </c>
      <c r="L188" s="112">
        <v>326.75200000000001</v>
      </c>
      <c r="M188" s="112">
        <v>185.62500000000003</v>
      </c>
      <c r="N188" s="112">
        <v>7.4039999999999999</v>
      </c>
      <c r="O188" s="122">
        <v>995.02400000000011</v>
      </c>
      <c r="P188" s="112">
        <v>70.537999999999997</v>
      </c>
      <c r="Q188" s="112">
        <v>370.27600000000001</v>
      </c>
      <c r="R188" s="112">
        <v>750.94</v>
      </c>
      <c r="S188" s="112">
        <v>701.38200000000006</v>
      </c>
      <c r="T188" s="112">
        <v>415.05100000000004</v>
      </c>
      <c r="U188" s="112">
        <v>7.5289999999999999</v>
      </c>
      <c r="V188" s="112">
        <v>2315.7080000000005</v>
      </c>
    </row>
    <row r="189" spans="1:22" x14ac:dyDescent="0.2">
      <c r="A189" s="114"/>
      <c r="B189" s="112"/>
      <c r="C189" s="112"/>
      <c r="D189" s="112"/>
      <c r="E189" s="112"/>
      <c r="F189" s="112"/>
      <c r="G189" s="112"/>
      <c r="H189" s="122"/>
      <c r="I189" s="112"/>
      <c r="J189" s="112"/>
      <c r="K189" s="112"/>
      <c r="L189" s="112"/>
      <c r="M189" s="112"/>
      <c r="N189" s="112"/>
      <c r="O189" s="122"/>
      <c r="P189" s="112"/>
      <c r="Q189" s="112"/>
      <c r="R189" s="112"/>
      <c r="S189" s="112"/>
      <c r="T189" s="112"/>
      <c r="U189" s="112"/>
      <c r="V189" s="112"/>
    </row>
    <row r="190" spans="1:22" x14ac:dyDescent="0.2">
      <c r="A190" s="114">
        <v>2008</v>
      </c>
      <c r="B190" s="112"/>
      <c r="C190" s="112"/>
      <c r="D190" s="112"/>
      <c r="E190" s="112"/>
      <c r="F190" s="112"/>
      <c r="G190" s="112"/>
      <c r="H190" s="122"/>
      <c r="I190" s="112"/>
      <c r="J190" s="112"/>
      <c r="K190" s="112"/>
      <c r="L190" s="112"/>
      <c r="M190" s="112"/>
      <c r="N190" s="112"/>
      <c r="O190" s="122"/>
      <c r="P190" s="112"/>
      <c r="Q190" s="112"/>
      <c r="R190" s="112"/>
      <c r="S190" s="112"/>
      <c r="T190" s="112"/>
      <c r="U190" s="112"/>
      <c r="V190" s="112"/>
    </row>
    <row r="191" spans="1:22" x14ac:dyDescent="0.2">
      <c r="A191" s="47" t="s">
        <v>74</v>
      </c>
      <c r="B191" s="112">
        <v>14.176</v>
      </c>
      <c r="C191" s="112">
        <v>61.358000000000004</v>
      </c>
      <c r="D191" s="112">
        <v>176.25399999999999</v>
      </c>
      <c r="E191" s="112">
        <v>132.83099999999999</v>
      </c>
      <c r="F191" s="112">
        <v>68.400999999999996</v>
      </c>
      <c r="G191" s="112">
        <v>4.3000000000000003E-2</v>
      </c>
      <c r="H191" s="122">
        <v>453.06299999999999</v>
      </c>
      <c r="I191" s="112">
        <v>8.5909999999999993</v>
      </c>
      <c r="J191" s="112">
        <v>51.707999999999998</v>
      </c>
      <c r="K191" s="112">
        <v>77.935000000000002</v>
      </c>
      <c r="L191" s="112">
        <v>90.457999999999998</v>
      </c>
      <c r="M191" s="112">
        <v>48.42</v>
      </c>
      <c r="N191" s="112">
        <v>2.3420000000000001</v>
      </c>
      <c r="O191" s="122">
        <v>279.45</v>
      </c>
      <c r="P191" s="112">
        <v>22.766999999999999</v>
      </c>
      <c r="Q191" s="112">
        <v>113.066</v>
      </c>
      <c r="R191" s="112">
        <v>254.18899999999999</v>
      </c>
      <c r="S191" s="112">
        <v>223.28899999999999</v>
      </c>
      <c r="T191" s="112">
        <v>116.821</v>
      </c>
      <c r="U191" s="112">
        <v>2.3850000000000002</v>
      </c>
      <c r="V191" s="112">
        <v>732.51299999999992</v>
      </c>
    </row>
    <row r="192" spans="1:22" x14ac:dyDescent="0.2">
      <c r="A192" s="47" t="s">
        <v>75</v>
      </c>
      <c r="B192" s="112">
        <v>15.248000000000001</v>
      </c>
      <c r="C192" s="112">
        <v>69.498999999999995</v>
      </c>
      <c r="D192" s="112">
        <v>175.63400000000001</v>
      </c>
      <c r="E192" s="112">
        <v>132.05500000000001</v>
      </c>
      <c r="F192" s="112">
        <v>63.495000000000005</v>
      </c>
      <c r="G192" s="112">
        <v>0</v>
      </c>
      <c r="H192" s="122">
        <v>455.93</v>
      </c>
      <c r="I192" s="112">
        <v>9.9090000000000007</v>
      </c>
      <c r="J192" s="112">
        <v>62.314</v>
      </c>
      <c r="K192" s="112">
        <v>90.984000000000009</v>
      </c>
      <c r="L192" s="112">
        <v>92.188000000000002</v>
      </c>
      <c r="M192" s="112">
        <v>51.233000000000004</v>
      </c>
      <c r="N192" s="112">
        <v>2.5880000000000001</v>
      </c>
      <c r="O192" s="122">
        <v>309.21699999999998</v>
      </c>
      <c r="P192" s="112">
        <v>25.157000000000004</v>
      </c>
      <c r="Q192" s="112">
        <v>131.81299999999999</v>
      </c>
      <c r="R192" s="112">
        <v>266.61800000000005</v>
      </c>
      <c r="S192" s="112">
        <v>224.24299999999999</v>
      </c>
      <c r="T192" s="112">
        <v>114.72800000000001</v>
      </c>
      <c r="U192" s="112">
        <v>2.5880000000000001</v>
      </c>
      <c r="V192" s="112">
        <v>765.14699999999993</v>
      </c>
    </row>
    <row r="193" spans="1:22" x14ac:dyDescent="0.2">
      <c r="A193" s="47" t="s">
        <v>76</v>
      </c>
      <c r="B193" s="112">
        <v>17.193999999999999</v>
      </c>
      <c r="C193" s="112">
        <v>73.114000000000004</v>
      </c>
      <c r="D193" s="112">
        <v>177.739</v>
      </c>
      <c r="E193" s="112">
        <v>135.566</v>
      </c>
      <c r="F193" s="112">
        <v>67.927000000000007</v>
      </c>
      <c r="G193" s="112">
        <v>0</v>
      </c>
      <c r="H193" s="122">
        <v>471.54200000000003</v>
      </c>
      <c r="I193" s="112">
        <v>10.911</v>
      </c>
      <c r="J193" s="112">
        <v>72.676000000000002</v>
      </c>
      <c r="K193" s="112">
        <v>87.38</v>
      </c>
      <c r="L193" s="112">
        <v>92.838000000000008</v>
      </c>
      <c r="M193" s="112">
        <v>57.447000000000003</v>
      </c>
      <c r="N193" s="112">
        <v>3.0550000000000002</v>
      </c>
      <c r="O193" s="122">
        <v>324.30799999999999</v>
      </c>
      <c r="P193" s="112">
        <v>28.104999999999997</v>
      </c>
      <c r="Q193" s="112">
        <v>145.79000000000002</v>
      </c>
      <c r="R193" s="112">
        <v>265.11900000000003</v>
      </c>
      <c r="S193" s="112">
        <v>228.404</v>
      </c>
      <c r="T193" s="112">
        <v>125.37400000000001</v>
      </c>
      <c r="U193" s="112">
        <v>3.0550000000000002</v>
      </c>
      <c r="V193" s="112">
        <v>795.85</v>
      </c>
    </row>
    <row r="194" spans="1:22" x14ac:dyDescent="0.2">
      <c r="A194" s="47" t="s">
        <v>77</v>
      </c>
      <c r="B194" s="112">
        <v>46.617999999999995</v>
      </c>
      <c r="C194" s="112">
        <v>203.971</v>
      </c>
      <c r="D194" s="112">
        <v>529.62700000000007</v>
      </c>
      <c r="E194" s="112">
        <v>400.452</v>
      </c>
      <c r="F194" s="112">
        <v>199.82300000000004</v>
      </c>
      <c r="G194" s="112">
        <v>4.3000000000000003E-2</v>
      </c>
      <c r="H194" s="122">
        <v>1380.5349999999999</v>
      </c>
      <c r="I194" s="112">
        <v>29.411000000000001</v>
      </c>
      <c r="J194" s="112">
        <v>186.69799999999998</v>
      </c>
      <c r="K194" s="112">
        <v>256.29899999999998</v>
      </c>
      <c r="L194" s="112">
        <v>275.48400000000004</v>
      </c>
      <c r="M194" s="112">
        <v>157.10000000000002</v>
      </c>
      <c r="N194" s="112">
        <v>7.9849999999999994</v>
      </c>
      <c r="O194" s="122">
        <v>912.97499999999991</v>
      </c>
      <c r="P194" s="112">
        <v>76.028999999999996</v>
      </c>
      <c r="Q194" s="112">
        <v>390.66899999999998</v>
      </c>
      <c r="R194" s="112">
        <v>785.92600000000004</v>
      </c>
      <c r="S194" s="112">
        <v>675.93600000000004</v>
      </c>
      <c r="T194" s="112">
        <v>356.92300000000006</v>
      </c>
      <c r="U194" s="112">
        <v>8.0279999999999987</v>
      </c>
      <c r="V194" s="112">
        <v>2293.5099999999998</v>
      </c>
    </row>
    <row r="195" spans="1:22" x14ac:dyDescent="0.2">
      <c r="A195" s="47" t="s">
        <v>78</v>
      </c>
      <c r="B195" s="112">
        <v>16.568000000000001</v>
      </c>
      <c r="C195" s="112">
        <v>72.567999999999998</v>
      </c>
      <c r="D195" s="112">
        <v>179.20600000000002</v>
      </c>
      <c r="E195" s="112">
        <v>128.91800000000001</v>
      </c>
      <c r="F195" s="112">
        <v>70.522999999999996</v>
      </c>
      <c r="G195" s="112">
        <v>0</v>
      </c>
      <c r="H195" s="122">
        <v>467.78199999999998</v>
      </c>
      <c r="I195" s="112">
        <v>10.397</v>
      </c>
      <c r="J195" s="112">
        <v>58.739000000000004</v>
      </c>
      <c r="K195" s="112">
        <v>84.302999999999997</v>
      </c>
      <c r="L195" s="112">
        <v>83.513000000000005</v>
      </c>
      <c r="M195" s="112">
        <v>51.113</v>
      </c>
      <c r="N195" s="112">
        <v>2.2920000000000003</v>
      </c>
      <c r="O195" s="122">
        <v>290.358</v>
      </c>
      <c r="P195" s="112">
        <v>26.965000000000003</v>
      </c>
      <c r="Q195" s="112">
        <v>131.30700000000002</v>
      </c>
      <c r="R195" s="112">
        <v>263.50900000000001</v>
      </c>
      <c r="S195" s="112">
        <v>212.43100000000001</v>
      </c>
      <c r="T195" s="112">
        <v>121.636</v>
      </c>
      <c r="U195" s="112">
        <v>2.2920000000000003</v>
      </c>
      <c r="V195" s="112">
        <v>758.14</v>
      </c>
    </row>
    <row r="196" spans="1:22" x14ac:dyDescent="0.2">
      <c r="A196" s="47" t="s">
        <v>79</v>
      </c>
      <c r="B196" s="112">
        <v>17.693999999999999</v>
      </c>
      <c r="C196" s="112">
        <v>77.882000000000005</v>
      </c>
      <c r="D196" s="112">
        <v>185.023</v>
      </c>
      <c r="E196" s="112">
        <v>136.69800000000001</v>
      </c>
      <c r="F196" s="112">
        <v>72.02</v>
      </c>
      <c r="G196" s="112">
        <v>0</v>
      </c>
      <c r="H196" s="122">
        <v>489.31400000000002</v>
      </c>
      <c r="I196" s="112">
        <v>11.318</v>
      </c>
      <c r="J196" s="112">
        <v>65.48</v>
      </c>
      <c r="K196" s="112">
        <v>95.228000000000009</v>
      </c>
      <c r="L196" s="112">
        <v>101.01</v>
      </c>
      <c r="M196" s="112">
        <v>54.017000000000003</v>
      </c>
      <c r="N196" s="112">
        <v>2.59</v>
      </c>
      <c r="O196" s="122">
        <v>329.64300000000003</v>
      </c>
      <c r="P196" s="112">
        <v>29.012</v>
      </c>
      <c r="Q196" s="112">
        <v>143.36200000000002</v>
      </c>
      <c r="R196" s="112">
        <v>280.25099999999998</v>
      </c>
      <c r="S196" s="112">
        <v>237.70800000000003</v>
      </c>
      <c r="T196" s="112">
        <v>126.03700000000001</v>
      </c>
      <c r="U196" s="112">
        <v>2.59</v>
      </c>
      <c r="V196" s="112">
        <v>818.95700000000011</v>
      </c>
    </row>
    <row r="197" spans="1:22" x14ac:dyDescent="0.2">
      <c r="A197" s="47" t="s">
        <v>89</v>
      </c>
      <c r="B197" s="112">
        <v>17.637</v>
      </c>
      <c r="C197" s="112">
        <v>83.915999999999997</v>
      </c>
      <c r="D197" s="112">
        <v>183.136</v>
      </c>
      <c r="E197" s="112">
        <v>117.446</v>
      </c>
      <c r="F197" s="112">
        <v>78.984999999999999</v>
      </c>
      <c r="G197" s="112">
        <v>0</v>
      </c>
      <c r="H197" s="122">
        <v>481.12</v>
      </c>
      <c r="I197" s="112">
        <v>11.268000000000001</v>
      </c>
      <c r="J197" s="112">
        <v>68.555999999999997</v>
      </c>
      <c r="K197" s="112">
        <v>93.543000000000006</v>
      </c>
      <c r="L197" s="112">
        <v>101.938</v>
      </c>
      <c r="M197" s="112">
        <v>54.968000000000004</v>
      </c>
      <c r="N197" s="112">
        <v>3.097</v>
      </c>
      <c r="O197" s="122">
        <v>333.37</v>
      </c>
      <c r="P197" s="112">
        <v>28.905000000000001</v>
      </c>
      <c r="Q197" s="112">
        <v>152.47199999999998</v>
      </c>
      <c r="R197" s="112">
        <v>276.67899999999997</v>
      </c>
      <c r="S197" s="112">
        <v>219.38400000000001</v>
      </c>
      <c r="T197" s="112">
        <v>133.953</v>
      </c>
      <c r="U197" s="112">
        <v>3.097</v>
      </c>
      <c r="V197" s="112">
        <v>814.49</v>
      </c>
    </row>
    <row r="198" spans="1:22" x14ac:dyDescent="0.2">
      <c r="A198" s="47" t="s">
        <v>80</v>
      </c>
      <c r="B198" s="112">
        <v>51.899000000000001</v>
      </c>
      <c r="C198" s="112">
        <v>234.36599999999999</v>
      </c>
      <c r="D198" s="112">
        <v>547.36500000000001</v>
      </c>
      <c r="E198" s="112">
        <v>383.06200000000001</v>
      </c>
      <c r="F198" s="112">
        <v>221.52800000000002</v>
      </c>
      <c r="G198" s="112">
        <v>0</v>
      </c>
      <c r="H198" s="122">
        <v>1438.2159999999999</v>
      </c>
      <c r="I198" s="112">
        <v>32.983000000000004</v>
      </c>
      <c r="J198" s="112">
        <v>192.77500000000001</v>
      </c>
      <c r="K198" s="112">
        <v>273.07400000000001</v>
      </c>
      <c r="L198" s="112">
        <v>286.46100000000001</v>
      </c>
      <c r="M198" s="112">
        <v>160.09800000000001</v>
      </c>
      <c r="N198" s="112">
        <v>7.9789999999999992</v>
      </c>
      <c r="O198" s="122">
        <v>953.37099999999998</v>
      </c>
      <c r="P198" s="112">
        <v>84.882000000000005</v>
      </c>
      <c r="Q198" s="112">
        <v>427.14099999999996</v>
      </c>
      <c r="R198" s="112">
        <v>820.43900000000008</v>
      </c>
      <c r="S198" s="112">
        <v>669.52300000000002</v>
      </c>
      <c r="T198" s="112">
        <v>381.62600000000003</v>
      </c>
      <c r="U198" s="112">
        <v>7.9789999999999992</v>
      </c>
      <c r="V198" s="112">
        <v>2391.587</v>
      </c>
    </row>
    <row r="199" spans="1:22" x14ac:dyDescent="0.2">
      <c r="A199" s="47" t="s">
        <v>90</v>
      </c>
      <c r="B199" s="112">
        <v>18.105</v>
      </c>
      <c r="C199" s="112">
        <v>78.242000000000004</v>
      </c>
      <c r="D199" s="112">
        <v>192.08799999999999</v>
      </c>
      <c r="E199" s="112">
        <v>123.849</v>
      </c>
      <c r="F199" s="112">
        <v>77.855000000000004</v>
      </c>
      <c r="G199" s="112">
        <v>0</v>
      </c>
      <c r="H199" s="122">
        <v>490.13800000000003</v>
      </c>
      <c r="I199" s="112">
        <v>13.088000000000001</v>
      </c>
      <c r="J199" s="112">
        <v>70.492000000000004</v>
      </c>
      <c r="K199" s="112">
        <v>96.349000000000004</v>
      </c>
      <c r="L199" s="112">
        <v>99.51</v>
      </c>
      <c r="M199" s="112">
        <v>59.06</v>
      </c>
      <c r="N199" s="112">
        <v>2.3620000000000001</v>
      </c>
      <c r="O199" s="122">
        <v>340.86099999999999</v>
      </c>
      <c r="P199" s="112">
        <v>31.193000000000001</v>
      </c>
      <c r="Q199" s="112">
        <v>148.73400000000001</v>
      </c>
      <c r="R199" s="112">
        <v>288.43700000000001</v>
      </c>
      <c r="S199" s="112">
        <v>223.35900000000001</v>
      </c>
      <c r="T199" s="112">
        <v>136.91500000000002</v>
      </c>
      <c r="U199" s="112">
        <v>2.3620000000000001</v>
      </c>
      <c r="V199" s="112">
        <v>830.99900000000002</v>
      </c>
    </row>
    <row r="200" spans="1:22" x14ac:dyDescent="0.2">
      <c r="A200" s="47" t="s">
        <v>81</v>
      </c>
      <c r="B200" s="112">
        <v>15.816000000000001</v>
      </c>
      <c r="C200" s="112">
        <v>79.222999999999999</v>
      </c>
      <c r="D200" s="112">
        <v>189.77100000000002</v>
      </c>
      <c r="E200" s="112">
        <v>120.256</v>
      </c>
      <c r="F200" s="112">
        <v>72.792000000000002</v>
      </c>
      <c r="G200" s="112">
        <v>0</v>
      </c>
      <c r="H200" s="122">
        <v>477.85599999999999</v>
      </c>
      <c r="I200" s="112">
        <v>11.214</v>
      </c>
      <c r="J200" s="112">
        <v>62.413000000000004</v>
      </c>
      <c r="K200" s="112">
        <v>95.739000000000004</v>
      </c>
      <c r="L200" s="112">
        <v>103.387</v>
      </c>
      <c r="M200" s="112">
        <v>54.672000000000004</v>
      </c>
      <c r="N200" s="112">
        <v>2.544</v>
      </c>
      <c r="O200" s="122">
        <v>329.971</v>
      </c>
      <c r="P200" s="112">
        <v>27.03</v>
      </c>
      <c r="Q200" s="112">
        <v>141.636</v>
      </c>
      <c r="R200" s="112">
        <v>285.51</v>
      </c>
      <c r="S200" s="112">
        <v>223.643</v>
      </c>
      <c r="T200" s="112">
        <v>127.464</v>
      </c>
      <c r="U200" s="112">
        <v>2.544</v>
      </c>
      <c r="V200" s="112">
        <v>807.827</v>
      </c>
    </row>
    <row r="201" spans="1:22" x14ac:dyDescent="0.2">
      <c r="A201" s="47" t="s">
        <v>82</v>
      </c>
      <c r="B201" s="112">
        <v>17.759</v>
      </c>
      <c r="C201" s="112">
        <v>75.180999999999997</v>
      </c>
      <c r="D201" s="112">
        <v>192.173</v>
      </c>
      <c r="E201" s="112">
        <v>111.414</v>
      </c>
      <c r="F201" s="112">
        <v>81.813000000000002</v>
      </c>
      <c r="G201" s="112">
        <v>0</v>
      </c>
      <c r="H201" s="122">
        <v>478.34500000000003</v>
      </c>
      <c r="I201" s="112">
        <v>11.882</v>
      </c>
      <c r="J201" s="112">
        <v>63.344999999999999</v>
      </c>
      <c r="K201" s="112">
        <v>102.685</v>
      </c>
      <c r="L201" s="112">
        <v>103.666</v>
      </c>
      <c r="M201" s="112">
        <v>56.752000000000002</v>
      </c>
      <c r="N201" s="112">
        <v>2.56</v>
      </c>
      <c r="O201" s="122">
        <v>340.88600000000002</v>
      </c>
      <c r="P201" s="112">
        <v>29.640999999999998</v>
      </c>
      <c r="Q201" s="112">
        <v>138.52600000000001</v>
      </c>
      <c r="R201" s="112">
        <v>294.858</v>
      </c>
      <c r="S201" s="112">
        <v>215.07999999999998</v>
      </c>
      <c r="T201" s="112">
        <v>138.565</v>
      </c>
      <c r="U201" s="112">
        <v>2.56</v>
      </c>
      <c r="V201" s="112">
        <v>819.23099999999999</v>
      </c>
    </row>
    <row r="202" spans="1:22" x14ac:dyDescent="0.2">
      <c r="A202" s="47" t="s">
        <v>83</v>
      </c>
      <c r="B202" s="112">
        <v>51.68</v>
      </c>
      <c r="C202" s="112">
        <v>232.64600000000002</v>
      </c>
      <c r="D202" s="112">
        <v>574.03200000000004</v>
      </c>
      <c r="E202" s="112">
        <v>355.51900000000001</v>
      </c>
      <c r="F202" s="112">
        <v>232.45999999999998</v>
      </c>
      <c r="G202" s="112">
        <v>0</v>
      </c>
      <c r="H202" s="122">
        <v>1446.3389999999999</v>
      </c>
      <c r="I202" s="112">
        <v>36.183999999999997</v>
      </c>
      <c r="J202" s="112">
        <v>196.25</v>
      </c>
      <c r="K202" s="112">
        <v>294.77300000000002</v>
      </c>
      <c r="L202" s="112">
        <v>306.56299999999999</v>
      </c>
      <c r="M202" s="112">
        <v>170.48400000000001</v>
      </c>
      <c r="N202" s="112">
        <v>7.4660000000000011</v>
      </c>
      <c r="O202" s="122">
        <v>1011.7180000000001</v>
      </c>
      <c r="P202" s="112">
        <v>87.864000000000004</v>
      </c>
      <c r="Q202" s="112">
        <v>428.89600000000002</v>
      </c>
      <c r="R202" s="112">
        <v>868.80500000000006</v>
      </c>
      <c r="S202" s="112">
        <v>662.08199999999999</v>
      </c>
      <c r="T202" s="112">
        <v>402.94399999999996</v>
      </c>
      <c r="U202" s="112">
        <v>7.4660000000000011</v>
      </c>
      <c r="V202" s="112">
        <v>2458.0569999999998</v>
      </c>
    </row>
    <row r="203" spans="1:22" x14ac:dyDescent="0.2">
      <c r="A203" s="47" t="s">
        <v>85</v>
      </c>
      <c r="B203" s="112">
        <v>17.275000000000002</v>
      </c>
      <c r="C203" s="112">
        <v>80.486999999999995</v>
      </c>
      <c r="D203" s="112">
        <v>200.24</v>
      </c>
      <c r="E203" s="112">
        <v>118.932</v>
      </c>
      <c r="F203" s="112">
        <v>73.472000000000008</v>
      </c>
      <c r="G203" s="112">
        <v>0</v>
      </c>
      <c r="H203" s="122">
        <v>490.40500000000003</v>
      </c>
      <c r="I203" s="112">
        <v>12.711</v>
      </c>
      <c r="J203" s="112">
        <v>71.501999999999995</v>
      </c>
      <c r="K203" s="112">
        <v>98.701000000000008</v>
      </c>
      <c r="L203" s="112">
        <v>101.151</v>
      </c>
      <c r="M203" s="112">
        <v>59.297000000000004</v>
      </c>
      <c r="N203" s="112">
        <v>2.375</v>
      </c>
      <c r="O203" s="122">
        <v>345.73700000000002</v>
      </c>
      <c r="P203" s="112">
        <v>29.986000000000004</v>
      </c>
      <c r="Q203" s="112">
        <v>151.98899999999998</v>
      </c>
      <c r="R203" s="112">
        <v>298.94100000000003</v>
      </c>
      <c r="S203" s="112">
        <v>220.083</v>
      </c>
      <c r="T203" s="112">
        <v>132.76900000000001</v>
      </c>
      <c r="U203" s="112">
        <v>2.375</v>
      </c>
      <c r="V203" s="112">
        <v>836.14200000000005</v>
      </c>
    </row>
    <row r="204" spans="1:22" x14ac:dyDescent="0.2">
      <c r="A204" s="47" t="s">
        <v>86</v>
      </c>
      <c r="B204" s="112">
        <v>15.177</v>
      </c>
      <c r="C204" s="112">
        <v>69.997</v>
      </c>
      <c r="D204" s="112">
        <v>166.74100000000001</v>
      </c>
      <c r="E204" s="112">
        <v>105.867</v>
      </c>
      <c r="F204" s="112">
        <v>64.198000000000008</v>
      </c>
      <c r="G204" s="112">
        <v>0</v>
      </c>
      <c r="H204" s="122">
        <v>421.97899999999998</v>
      </c>
      <c r="I204" s="112">
        <v>11.495000000000001</v>
      </c>
      <c r="J204" s="112">
        <v>56.96</v>
      </c>
      <c r="K204" s="112">
        <v>82.757999999999996</v>
      </c>
      <c r="L204" s="112">
        <v>102.82300000000001</v>
      </c>
      <c r="M204" s="112">
        <v>58.978999999999999</v>
      </c>
      <c r="N204" s="112">
        <v>2.8679999999999999</v>
      </c>
      <c r="O204" s="122">
        <v>315.88100000000003</v>
      </c>
      <c r="P204" s="112">
        <v>26.672000000000001</v>
      </c>
      <c r="Q204" s="112">
        <v>126.95699999999999</v>
      </c>
      <c r="R204" s="112">
        <v>249.49900000000002</v>
      </c>
      <c r="S204" s="112">
        <v>208.69</v>
      </c>
      <c r="T204" s="112">
        <v>123.17700000000001</v>
      </c>
      <c r="U204" s="112">
        <v>2.8679999999999999</v>
      </c>
      <c r="V204" s="112">
        <v>737.86</v>
      </c>
    </row>
    <row r="205" spans="1:22" x14ac:dyDescent="0.2">
      <c r="A205" s="47" t="s">
        <v>87</v>
      </c>
      <c r="B205" s="112">
        <v>13.514000000000001</v>
      </c>
      <c r="C205" s="112">
        <v>63.691000000000003</v>
      </c>
      <c r="D205" s="112">
        <v>149.97900000000001</v>
      </c>
      <c r="E205" s="112">
        <v>106.42400000000001</v>
      </c>
      <c r="F205" s="112">
        <v>60.933</v>
      </c>
      <c r="G205" s="112">
        <v>0.01</v>
      </c>
      <c r="H205" s="122">
        <v>394.55099999999999</v>
      </c>
      <c r="I205" s="112">
        <v>10.032</v>
      </c>
      <c r="J205" s="112">
        <v>54.305</v>
      </c>
      <c r="K205" s="112">
        <v>83.679000000000002</v>
      </c>
      <c r="L205" s="112">
        <v>96.626000000000005</v>
      </c>
      <c r="M205" s="112">
        <v>48.445999999999998</v>
      </c>
      <c r="N205" s="112">
        <v>2.206</v>
      </c>
      <c r="O205" s="122">
        <v>295.29500000000002</v>
      </c>
      <c r="P205" s="112">
        <v>23.545999999999999</v>
      </c>
      <c r="Q205" s="112">
        <v>117.99600000000001</v>
      </c>
      <c r="R205" s="112">
        <v>233.65800000000002</v>
      </c>
      <c r="S205" s="112">
        <v>203.05</v>
      </c>
      <c r="T205" s="112">
        <v>109.37899999999999</v>
      </c>
      <c r="U205" s="112">
        <v>2.2159999999999997</v>
      </c>
      <c r="V205" s="112">
        <v>689.846</v>
      </c>
    </row>
    <row r="206" spans="1:22" x14ac:dyDescent="0.2">
      <c r="A206" s="47" t="s">
        <v>84</v>
      </c>
      <c r="B206" s="112">
        <v>45.966000000000001</v>
      </c>
      <c r="C206" s="112">
        <v>214.17499999999998</v>
      </c>
      <c r="D206" s="112">
        <v>516.96</v>
      </c>
      <c r="E206" s="112">
        <v>331.22300000000001</v>
      </c>
      <c r="F206" s="112">
        <v>198.60300000000001</v>
      </c>
      <c r="G206" s="112">
        <v>0.01</v>
      </c>
      <c r="H206" s="122">
        <v>1306.9349999999999</v>
      </c>
      <c r="I206" s="112">
        <v>34.238</v>
      </c>
      <c r="J206" s="112">
        <v>182.767</v>
      </c>
      <c r="K206" s="112">
        <v>265.13800000000003</v>
      </c>
      <c r="L206" s="112">
        <v>300.60000000000002</v>
      </c>
      <c r="M206" s="112">
        <v>166.72200000000001</v>
      </c>
      <c r="N206" s="112">
        <v>7.4489999999999998</v>
      </c>
      <c r="O206" s="122">
        <v>956.91300000000001</v>
      </c>
      <c r="P206" s="112">
        <v>80.204000000000008</v>
      </c>
      <c r="Q206" s="112">
        <v>396.94200000000001</v>
      </c>
      <c r="R206" s="112">
        <v>782.09800000000007</v>
      </c>
      <c r="S206" s="112">
        <v>631.82300000000009</v>
      </c>
      <c r="T206" s="112">
        <v>365.32500000000005</v>
      </c>
      <c r="U206" s="112">
        <v>7.4589999999999996</v>
      </c>
      <c r="V206" s="112">
        <v>2263.848</v>
      </c>
    </row>
    <row r="207" spans="1:22" x14ac:dyDescent="0.2">
      <c r="A207" s="114"/>
      <c r="B207" s="112"/>
      <c r="C207" s="112"/>
      <c r="D207" s="112"/>
      <c r="E207" s="112"/>
      <c r="F207" s="112"/>
      <c r="G207" s="112"/>
      <c r="H207" s="122"/>
      <c r="I207" s="112"/>
      <c r="J207" s="112"/>
      <c r="K207" s="112"/>
      <c r="L207" s="112"/>
      <c r="M207" s="112"/>
      <c r="N207" s="112"/>
      <c r="O207" s="122"/>
      <c r="P207" s="112"/>
      <c r="Q207" s="112"/>
      <c r="R207" s="112"/>
      <c r="S207" s="112"/>
      <c r="T207" s="112"/>
      <c r="U207" s="112"/>
      <c r="V207" s="112"/>
    </row>
    <row r="208" spans="1:22" x14ac:dyDescent="0.2">
      <c r="A208" s="114">
        <v>2009</v>
      </c>
      <c r="B208" s="112"/>
      <c r="C208" s="112"/>
      <c r="D208" s="112"/>
      <c r="E208" s="112"/>
      <c r="F208" s="112"/>
      <c r="G208" s="112"/>
      <c r="H208" s="122"/>
      <c r="I208" s="112"/>
      <c r="J208" s="112"/>
      <c r="K208" s="112"/>
      <c r="L208" s="112"/>
      <c r="M208" s="112"/>
      <c r="N208" s="112"/>
      <c r="O208" s="122"/>
      <c r="P208" s="112"/>
      <c r="Q208" s="112"/>
      <c r="R208" s="112"/>
      <c r="S208" s="112"/>
      <c r="T208" s="112"/>
      <c r="U208" s="112"/>
      <c r="V208" s="112"/>
    </row>
    <row r="209" spans="1:22" x14ac:dyDescent="0.2">
      <c r="A209" s="47" t="s">
        <v>74</v>
      </c>
      <c r="B209" s="112">
        <v>12.553000000000001</v>
      </c>
      <c r="C209" s="112">
        <v>65.891999999999996</v>
      </c>
      <c r="D209" s="112">
        <v>164.44800000000001</v>
      </c>
      <c r="E209" s="112">
        <v>111.83800000000001</v>
      </c>
      <c r="F209" s="112">
        <v>57.908999999999999</v>
      </c>
      <c r="G209" s="112">
        <v>0</v>
      </c>
      <c r="H209" s="122">
        <v>412.637</v>
      </c>
      <c r="I209" s="112">
        <v>10.000999999999999</v>
      </c>
      <c r="J209" s="112">
        <v>54.256999999999998</v>
      </c>
      <c r="K209" s="112">
        <v>72.14</v>
      </c>
      <c r="L209" s="112">
        <v>78.739000000000004</v>
      </c>
      <c r="M209" s="112">
        <v>42.465000000000003</v>
      </c>
      <c r="N209" s="112">
        <v>2.0950000000000002</v>
      </c>
      <c r="O209" s="122">
        <v>259.69799999999998</v>
      </c>
      <c r="P209" s="112">
        <v>22.554000000000002</v>
      </c>
      <c r="Q209" s="112">
        <v>120.149</v>
      </c>
      <c r="R209" s="112">
        <v>236.58800000000002</v>
      </c>
      <c r="S209" s="112">
        <v>190.577</v>
      </c>
      <c r="T209" s="112">
        <v>100.374</v>
      </c>
      <c r="U209" s="112">
        <v>2.0950000000000002</v>
      </c>
      <c r="V209" s="112">
        <v>672.33500000000004</v>
      </c>
    </row>
    <row r="210" spans="1:22" x14ac:dyDescent="0.2">
      <c r="A210" s="47" t="s">
        <v>75</v>
      </c>
      <c r="B210" s="112">
        <v>12.103</v>
      </c>
      <c r="C210" s="112">
        <v>57.411999999999999</v>
      </c>
      <c r="D210" s="112">
        <v>152.43600000000001</v>
      </c>
      <c r="E210" s="112">
        <v>102.598</v>
      </c>
      <c r="F210" s="112">
        <v>51.314999999999998</v>
      </c>
      <c r="G210" s="112">
        <v>0</v>
      </c>
      <c r="H210" s="122">
        <v>375.863</v>
      </c>
      <c r="I210" s="112">
        <v>9.168000000000001</v>
      </c>
      <c r="J210" s="112">
        <v>56.78</v>
      </c>
      <c r="K210" s="112">
        <v>71.343000000000004</v>
      </c>
      <c r="L210" s="112">
        <v>80.817000000000007</v>
      </c>
      <c r="M210" s="112">
        <v>41.523000000000003</v>
      </c>
      <c r="N210" s="112">
        <v>2.1539999999999999</v>
      </c>
      <c r="O210" s="122">
        <v>261.78399999999999</v>
      </c>
      <c r="P210" s="112">
        <v>21.271000000000001</v>
      </c>
      <c r="Q210" s="112">
        <v>114.19200000000001</v>
      </c>
      <c r="R210" s="112">
        <v>223.779</v>
      </c>
      <c r="S210" s="112">
        <v>183.41500000000002</v>
      </c>
      <c r="T210" s="112">
        <v>92.837999999999994</v>
      </c>
      <c r="U210" s="112">
        <v>2.1539999999999999</v>
      </c>
      <c r="V210" s="112">
        <v>637.64699999999993</v>
      </c>
    </row>
    <row r="211" spans="1:22" x14ac:dyDescent="0.2">
      <c r="A211" s="47" t="s">
        <v>76</v>
      </c>
      <c r="B211" s="112">
        <v>14.459</v>
      </c>
      <c r="C211" s="112">
        <v>70.850999999999999</v>
      </c>
      <c r="D211" s="112">
        <v>193.285</v>
      </c>
      <c r="E211" s="112">
        <v>114.45100000000001</v>
      </c>
      <c r="F211" s="112">
        <v>60.191000000000003</v>
      </c>
      <c r="G211" s="112">
        <v>0</v>
      </c>
      <c r="H211" s="122">
        <v>453.23900000000003</v>
      </c>
      <c r="I211" s="112">
        <v>10.682</v>
      </c>
      <c r="J211" s="112">
        <v>65.841000000000008</v>
      </c>
      <c r="K211" s="112">
        <v>86.707000000000008</v>
      </c>
      <c r="L211" s="112">
        <v>103.005</v>
      </c>
      <c r="M211" s="112">
        <v>48.35</v>
      </c>
      <c r="N211" s="112">
        <v>2.8090000000000002</v>
      </c>
      <c r="O211" s="122">
        <v>317.39699999999999</v>
      </c>
      <c r="P211" s="112">
        <v>25.140999999999998</v>
      </c>
      <c r="Q211" s="112">
        <v>136.69200000000001</v>
      </c>
      <c r="R211" s="112">
        <v>279.99200000000002</v>
      </c>
      <c r="S211" s="112">
        <v>217.45600000000002</v>
      </c>
      <c r="T211" s="112">
        <v>108.541</v>
      </c>
      <c r="U211" s="112">
        <v>2.8090000000000002</v>
      </c>
      <c r="V211" s="112">
        <v>770.63599999999997</v>
      </c>
    </row>
    <row r="212" spans="1:22" x14ac:dyDescent="0.2">
      <c r="A212" s="47" t="s">
        <v>77</v>
      </c>
      <c r="B212" s="112">
        <v>39.114999999999995</v>
      </c>
      <c r="C212" s="112">
        <v>194.155</v>
      </c>
      <c r="D212" s="112">
        <v>510.16899999999998</v>
      </c>
      <c r="E212" s="112">
        <v>328.887</v>
      </c>
      <c r="F212" s="112">
        <v>169.41499999999999</v>
      </c>
      <c r="G212" s="112">
        <v>0</v>
      </c>
      <c r="H212" s="122">
        <v>1241.739</v>
      </c>
      <c r="I212" s="112">
        <v>29.850999999999999</v>
      </c>
      <c r="J212" s="112">
        <v>176.87800000000001</v>
      </c>
      <c r="K212" s="112">
        <v>230.19</v>
      </c>
      <c r="L212" s="112">
        <v>262.56100000000004</v>
      </c>
      <c r="M212" s="112">
        <v>132.33799999999999</v>
      </c>
      <c r="N212" s="112">
        <v>7.0580000000000007</v>
      </c>
      <c r="O212" s="122">
        <v>838.87899999999991</v>
      </c>
      <c r="P212" s="112">
        <v>68.966000000000008</v>
      </c>
      <c r="Q212" s="112">
        <v>371.03300000000002</v>
      </c>
      <c r="R212" s="112">
        <v>740.35900000000004</v>
      </c>
      <c r="S212" s="112">
        <v>591.44800000000009</v>
      </c>
      <c r="T212" s="112">
        <v>301.75299999999999</v>
      </c>
      <c r="U212" s="112">
        <v>7.0580000000000007</v>
      </c>
      <c r="V212" s="112">
        <v>2080.6179999999999</v>
      </c>
    </row>
    <row r="213" spans="1:22" x14ac:dyDescent="0.2">
      <c r="A213" s="47" t="s">
        <v>78</v>
      </c>
      <c r="B213" s="112">
        <v>14.022</v>
      </c>
      <c r="C213" s="112">
        <v>65.480999999999995</v>
      </c>
      <c r="D213" s="112">
        <v>177.53900000000002</v>
      </c>
      <c r="E213" s="112">
        <v>115.858</v>
      </c>
      <c r="F213" s="112">
        <v>56.948999999999998</v>
      </c>
      <c r="G213" s="112">
        <v>0</v>
      </c>
      <c r="H213" s="122">
        <v>429.85</v>
      </c>
      <c r="I213" s="112">
        <v>10.117000000000001</v>
      </c>
      <c r="J213" s="112">
        <v>62.877000000000002</v>
      </c>
      <c r="K213" s="112">
        <v>88.266999999999996</v>
      </c>
      <c r="L213" s="112">
        <v>87.509</v>
      </c>
      <c r="M213" s="112">
        <v>49.091999999999999</v>
      </c>
      <c r="N213" s="112">
        <v>2.0760000000000001</v>
      </c>
      <c r="O213" s="122">
        <v>299.93700000000001</v>
      </c>
      <c r="P213" s="112">
        <v>24.139000000000003</v>
      </c>
      <c r="Q213" s="112">
        <v>128.358</v>
      </c>
      <c r="R213" s="112">
        <v>265.80600000000004</v>
      </c>
      <c r="S213" s="112">
        <v>203.36700000000002</v>
      </c>
      <c r="T213" s="112">
        <v>106.041</v>
      </c>
      <c r="U213" s="112">
        <v>2.0760000000000001</v>
      </c>
      <c r="V213" s="112">
        <v>729.78700000000003</v>
      </c>
    </row>
    <row r="214" spans="1:22" x14ac:dyDescent="0.2">
      <c r="A214" s="47" t="s">
        <v>79</v>
      </c>
      <c r="B214" s="112">
        <v>14.664</v>
      </c>
      <c r="C214" s="112">
        <v>70.510999999999996</v>
      </c>
      <c r="D214" s="112">
        <v>177.18</v>
      </c>
      <c r="E214" s="112">
        <v>119.574</v>
      </c>
      <c r="F214" s="112">
        <v>62.053000000000004</v>
      </c>
      <c r="G214" s="112">
        <v>0</v>
      </c>
      <c r="H214" s="122">
        <v>443.97899999999998</v>
      </c>
      <c r="I214" s="112">
        <v>10.814</v>
      </c>
      <c r="J214" s="112">
        <v>59.408000000000001</v>
      </c>
      <c r="K214" s="112">
        <v>91.724000000000004</v>
      </c>
      <c r="L214" s="112">
        <v>91.537999999999997</v>
      </c>
      <c r="M214" s="112">
        <v>49.142000000000003</v>
      </c>
      <c r="N214" s="112">
        <v>2.42</v>
      </c>
      <c r="O214" s="122">
        <v>305.04399999999998</v>
      </c>
      <c r="P214" s="112">
        <v>25.478000000000002</v>
      </c>
      <c r="Q214" s="112">
        <v>129.91899999999998</v>
      </c>
      <c r="R214" s="112">
        <v>268.904</v>
      </c>
      <c r="S214" s="112">
        <v>211.11199999999999</v>
      </c>
      <c r="T214" s="112">
        <v>111.19500000000001</v>
      </c>
      <c r="U214" s="112">
        <v>2.42</v>
      </c>
      <c r="V214" s="112">
        <v>749.02299999999991</v>
      </c>
    </row>
    <row r="215" spans="1:22" x14ac:dyDescent="0.2">
      <c r="A215" s="47" t="s">
        <v>89</v>
      </c>
      <c r="B215" s="112">
        <v>15.624000000000001</v>
      </c>
      <c r="C215" s="112">
        <v>76.31</v>
      </c>
      <c r="D215" s="112">
        <v>183.48599999999999</v>
      </c>
      <c r="E215" s="112">
        <v>123.004</v>
      </c>
      <c r="F215" s="112">
        <v>69.852999999999994</v>
      </c>
      <c r="G215" s="112">
        <v>0</v>
      </c>
      <c r="H215" s="122">
        <v>468.279</v>
      </c>
      <c r="I215" s="112">
        <v>11.459</v>
      </c>
      <c r="J215" s="112">
        <v>66.707000000000008</v>
      </c>
      <c r="K215" s="112">
        <v>96.17</v>
      </c>
      <c r="L215" s="112">
        <v>97.432000000000002</v>
      </c>
      <c r="M215" s="112">
        <v>57.02</v>
      </c>
      <c r="N215" s="112">
        <v>2.4260000000000002</v>
      </c>
      <c r="O215" s="122">
        <v>331.21600000000001</v>
      </c>
      <c r="P215" s="112">
        <v>27.082999999999998</v>
      </c>
      <c r="Q215" s="112">
        <v>143.017</v>
      </c>
      <c r="R215" s="112">
        <v>279.65600000000001</v>
      </c>
      <c r="S215" s="112">
        <v>220.43600000000001</v>
      </c>
      <c r="T215" s="112">
        <v>126.87299999999999</v>
      </c>
      <c r="U215" s="112">
        <v>2.4260000000000002</v>
      </c>
      <c r="V215" s="112">
        <v>799.495</v>
      </c>
    </row>
    <row r="216" spans="1:22" x14ac:dyDescent="0.2">
      <c r="A216" s="47" t="s">
        <v>80</v>
      </c>
      <c r="B216" s="112">
        <v>44.31</v>
      </c>
      <c r="C216" s="112">
        <v>212.30199999999999</v>
      </c>
      <c r="D216" s="112">
        <v>538.20500000000004</v>
      </c>
      <c r="E216" s="112">
        <v>358.43600000000004</v>
      </c>
      <c r="F216" s="112">
        <v>188.85500000000002</v>
      </c>
      <c r="G216" s="112">
        <v>0</v>
      </c>
      <c r="H216" s="122">
        <v>1342.1079999999999</v>
      </c>
      <c r="I216" s="112">
        <v>32.39</v>
      </c>
      <c r="J216" s="112">
        <v>188.99200000000002</v>
      </c>
      <c r="K216" s="112">
        <v>276.161</v>
      </c>
      <c r="L216" s="112">
        <v>276.47899999999998</v>
      </c>
      <c r="M216" s="112">
        <v>155.25400000000002</v>
      </c>
      <c r="N216" s="112">
        <v>6.9220000000000006</v>
      </c>
      <c r="O216" s="122">
        <v>936.197</v>
      </c>
      <c r="P216" s="112">
        <v>76.7</v>
      </c>
      <c r="Q216" s="112">
        <v>401.29399999999998</v>
      </c>
      <c r="R216" s="112">
        <v>814.36599999999999</v>
      </c>
      <c r="S216" s="112">
        <v>634.91499999999996</v>
      </c>
      <c r="T216" s="112">
        <v>344.10900000000004</v>
      </c>
      <c r="U216" s="112">
        <v>6.9220000000000006</v>
      </c>
      <c r="V216" s="112">
        <v>2278.3049999999998</v>
      </c>
    </row>
    <row r="217" spans="1:22" x14ac:dyDescent="0.2">
      <c r="A217" s="47" t="s">
        <v>90</v>
      </c>
      <c r="B217" s="112">
        <v>15.226000000000001</v>
      </c>
      <c r="C217" s="112">
        <v>76.512</v>
      </c>
      <c r="D217" s="112">
        <v>191.10599999999999</v>
      </c>
      <c r="E217" s="112">
        <v>121.274</v>
      </c>
      <c r="F217" s="112">
        <v>73.072000000000003</v>
      </c>
      <c r="G217" s="112">
        <v>0</v>
      </c>
      <c r="H217" s="122">
        <v>477.19100000000003</v>
      </c>
      <c r="I217" s="112">
        <v>11.327999999999999</v>
      </c>
      <c r="J217" s="112">
        <v>64.132999999999996</v>
      </c>
      <c r="K217" s="112">
        <v>103.536</v>
      </c>
      <c r="L217" s="112">
        <v>102.372</v>
      </c>
      <c r="M217" s="112">
        <v>54.186999999999998</v>
      </c>
      <c r="N217" s="112">
        <v>2.3679999999999999</v>
      </c>
      <c r="O217" s="122">
        <v>337.92200000000003</v>
      </c>
      <c r="P217" s="112">
        <v>26.554000000000002</v>
      </c>
      <c r="Q217" s="112">
        <v>140.64499999999998</v>
      </c>
      <c r="R217" s="112">
        <v>294.642</v>
      </c>
      <c r="S217" s="112">
        <v>223.64600000000002</v>
      </c>
      <c r="T217" s="112">
        <v>127.259</v>
      </c>
      <c r="U217" s="112">
        <v>2.3679999999999999</v>
      </c>
      <c r="V217" s="112">
        <v>815.11300000000006</v>
      </c>
    </row>
    <row r="218" spans="1:22" x14ac:dyDescent="0.2">
      <c r="A218" s="47" t="s">
        <v>81</v>
      </c>
      <c r="B218" s="112">
        <v>16.076000000000001</v>
      </c>
      <c r="C218" s="112">
        <v>79.686000000000007</v>
      </c>
      <c r="D218" s="112">
        <v>199.55600000000001</v>
      </c>
      <c r="E218" s="112">
        <v>125.758</v>
      </c>
      <c r="F218" s="112">
        <v>70.085000000000008</v>
      </c>
      <c r="G218" s="112">
        <v>1.55</v>
      </c>
      <c r="H218" s="122">
        <v>492.709</v>
      </c>
      <c r="I218" s="112">
        <v>12.138</v>
      </c>
      <c r="J218" s="112">
        <v>71.787000000000006</v>
      </c>
      <c r="K218" s="112">
        <v>105.779</v>
      </c>
      <c r="L218" s="112">
        <v>108.807</v>
      </c>
      <c r="M218" s="112">
        <v>54.498000000000005</v>
      </c>
      <c r="N218" s="112">
        <v>2.859</v>
      </c>
      <c r="O218" s="122">
        <v>355.87099999999998</v>
      </c>
      <c r="P218" s="112">
        <v>28.213999999999999</v>
      </c>
      <c r="Q218" s="112">
        <v>151.47300000000001</v>
      </c>
      <c r="R218" s="112">
        <v>305.33500000000004</v>
      </c>
      <c r="S218" s="112">
        <v>234.565</v>
      </c>
      <c r="T218" s="112">
        <v>124.58300000000001</v>
      </c>
      <c r="U218" s="112">
        <v>4.4089999999999998</v>
      </c>
      <c r="V218" s="112">
        <v>848.57999999999993</v>
      </c>
    </row>
    <row r="219" spans="1:22" x14ac:dyDescent="0.2">
      <c r="A219" s="47" t="s">
        <v>82</v>
      </c>
      <c r="B219" s="112">
        <v>16.195</v>
      </c>
      <c r="C219" s="112">
        <v>76.421999999999997</v>
      </c>
      <c r="D219" s="112">
        <v>210.38400000000001</v>
      </c>
      <c r="E219" s="112">
        <v>123.843</v>
      </c>
      <c r="F219" s="112">
        <v>76.486999999999995</v>
      </c>
      <c r="G219" s="112">
        <v>0</v>
      </c>
      <c r="H219" s="122">
        <v>503.32900000000001</v>
      </c>
      <c r="I219" s="112">
        <v>12.008000000000001</v>
      </c>
      <c r="J219" s="112">
        <v>73.915000000000006</v>
      </c>
      <c r="K219" s="112">
        <v>126.539</v>
      </c>
      <c r="L219" s="112">
        <v>117.139</v>
      </c>
      <c r="M219" s="112">
        <v>66.216999999999999</v>
      </c>
      <c r="N219" s="112">
        <v>2.9889999999999999</v>
      </c>
      <c r="O219" s="122">
        <v>398.80700000000002</v>
      </c>
      <c r="P219" s="112">
        <v>28.203000000000003</v>
      </c>
      <c r="Q219" s="112">
        <v>150.33699999999999</v>
      </c>
      <c r="R219" s="112">
        <v>336.923</v>
      </c>
      <c r="S219" s="112">
        <v>240.982</v>
      </c>
      <c r="T219" s="112">
        <v>142.70400000000001</v>
      </c>
      <c r="U219" s="112">
        <v>2.9889999999999999</v>
      </c>
      <c r="V219" s="112">
        <v>902.13599999999997</v>
      </c>
    </row>
    <row r="220" spans="1:22" x14ac:dyDescent="0.2">
      <c r="A220" s="47" t="s">
        <v>83</v>
      </c>
      <c r="B220" s="112">
        <v>47.497</v>
      </c>
      <c r="C220" s="112">
        <v>232.62</v>
      </c>
      <c r="D220" s="112">
        <v>601.04600000000005</v>
      </c>
      <c r="E220" s="112">
        <v>370.875</v>
      </c>
      <c r="F220" s="112">
        <v>219.64400000000001</v>
      </c>
      <c r="G220" s="112">
        <v>1.55</v>
      </c>
      <c r="H220" s="122">
        <v>1473.229</v>
      </c>
      <c r="I220" s="112">
        <v>35.474000000000004</v>
      </c>
      <c r="J220" s="112">
        <v>209.83500000000004</v>
      </c>
      <c r="K220" s="112">
        <v>335.85399999999998</v>
      </c>
      <c r="L220" s="112">
        <v>328.31799999999998</v>
      </c>
      <c r="M220" s="112">
        <v>174.90199999999999</v>
      </c>
      <c r="N220" s="112">
        <v>8.2160000000000011</v>
      </c>
      <c r="O220" s="122">
        <v>1092.5999999999999</v>
      </c>
      <c r="P220" s="112">
        <v>82.971000000000004</v>
      </c>
      <c r="Q220" s="112">
        <v>442.45500000000004</v>
      </c>
      <c r="R220" s="112">
        <v>936.90000000000009</v>
      </c>
      <c r="S220" s="112">
        <v>699.19299999999998</v>
      </c>
      <c r="T220" s="112">
        <v>394.54599999999999</v>
      </c>
      <c r="U220" s="112">
        <v>9.7660000000000018</v>
      </c>
      <c r="V220" s="112">
        <v>2565.8289999999997</v>
      </c>
    </row>
    <row r="221" spans="1:22" x14ac:dyDescent="0.2">
      <c r="A221" s="47" t="s">
        <v>85</v>
      </c>
      <c r="B221" s="112">
        <v>15.811</v>
      </c>
      <c r="C221" s="112">
        <v>79.662000000000006</v>
      </c>
      <c r="D221" s="112">
        <v>197.946</v>
      </c>
      <c r="E221" s="112">
        <v>126.795</v>
      </c>
      <c r="F221" s="112">
        <v>76.451000000000008</v>
      </c>
      <c r="G221" s="112">
        <v>0.01</v>
      </c>
      <c r="H221" s="122">
        <v>496.67599999999999</v>
      </c>
      <c r="I221" s="112">
        <v>11.861000000000001</v>
      </c>
      <c r="J221" s="112">
        <v>76.033000000000001</v>
      </c>
      <c r="K221" s="112">
        <v>109.52500000000001</v>
      </c>
      <c r="L221" s="112">
        <v>111.869</v>
      </c>
      <c r="M221" s="112">
        <v>67.966000000000008</v>
      </c>
      <c r="N221" s="112">
        <v>2.3149999999999999</v>
      </c>
      <c r="O221" s="122">
        <v>379.56799999999998</v>
      </c>
      <c r="P221" s="112">
        <v>27.672000000000001</v>
      </c>
      <c r="Q221" s="112">
        <v>155.69499999999999</v>
      </c>
      <c r="R221" s="112">
        <v>307.471</v>
      </c>
      <c r="S221" s="112">
        <v>238.66399999999999</v>
      </c>
      <c r="T221" s="112">
        <v>144.41700000000003</v>
      </c>
      <c r="U221" s="112">
        <v>2.3249999999999997</v>
      </c>
      <c r="V221" s="112">
        <v>876.24399999999991</v>
      </c>
    </row>
    <row r="222" spans="1:22" x14ac:dyDescent="0.2">
      <c r="A222" s="47" t="s">
        <v>86</v>
      </c>
      <c r="B222" s="112">
        <v>14.291</v>
      </c>
      <c r="C222" s="112">
        <v>67.105999999999995</v>
      </c>
      <c r="D222" s="112">
        <v>185.227</v>
      </c>
      <c r="E222" s="112">
        <v>109.05</v>
      </c>
      <c r="F222" s="112">
        <v>65.463000000000008</v>
      </c>
      <c r="G222" s="112">
        <v>0</v>
      </c>
      <c r="H222" s="122">
        <v>441.137</v>
      </c>
      <c r="I222" s="112">
        <v>11.18</v>
      </c>
      <c r="J222" s="112">
        <v>67.281000000000006</v>
      </c>
      <c r="K222" s="112">
        <v>104.122</v>
      </c>
      <c r="L222" s="112">
        <v>109.181</v>
      </c>
      <c r="M222" s="112">
        <v>61.185000000000002</v>
      </c>
      <c r="N222" s="112">
        <v>2.7600000000000002</v>
      </c>
      <c r="O222" s="122">
        <v>355.71</v>
      </c>
      <c r="P222" s="112">
        <v>25.471</v>
      </c>
      <c r="Q222" s="112">
        <v>134.387</v>
      </c>
      <c r="R222" s="112">
        <v>289.34899999999999</v>
      </c>
      <c r="S222" s="112">
        <v>218.23099999999999</v>
      </c>
      <c r="T222" s="112">
        <v>126.64800000000001</v>
      </c>
      <c r="U222" s="112">
        <v>2.7600000000000002</v>
      </c>
      <c r="V222" s="112">
        <v>796.84699999999998</v>
      </c>
    </row>
    <row r="223" spans="1:22" x14ac:dyDescent="0.2">
      <c r="A223" s="47" t="s">
        <v>87</v>
      </c>
      <c r="B223" s="112">
        <v>12.295</v>
      </c>
      <c r="C223" s="112">
        <v>59.752000000000002</v>
      </c>
      <c r="D223" s="112">
        <v>155.67500000000001</v>
      </c>
      <c r="E223" s="112">
        <v>106.04</v>
      </c>
      <c r="F223" s="112">
        <v>64.084000000000003</v>
      </c>
      <c r="G223" s="112">
        <v>0.01</v>
      </c>
      <c r="H223" s="122">
        <v>397.85599999999999</v>
      </c>
      <c r="I223" s="112">
        <v>9.3090000000000011</v>
      </c>
      <c r="J223" s="112">
        <v>60.314</v>
      </c>
      <c r="K223" s="112">
        <v>91.207999999999998</v>
      </c>
      <c r="L223" s="112">
        <v>91.564000000000007</v>
      </c>
      <c r="M223" s="112">
        <v>49.872999999999998</v>
      </c>
      <c r="N223" s="112">
        <v>1.8480000000000001</v>
      </c>
      <c r="O223" s="122">
        <v>304.11799999999999</v>
      </c>
      <c r="P223" s="112">
        <v>21.603999999999999</v>
      </c>
      <c r="Q223" s="112">
        <v>120.066</v>
      </c>
      <c r="R223" s="112">
        <v>246.88300000000001</v>
      </c>
      <c r="S223" s="112">
        <v>197.60400000000001</v>
      </c>
      <c r="T223" s="112">
        <v>113.95699999999999</v>
      </c>
      <c r="U223" s="112">
        <v>1.8580000000000001</v>
      </c>
      <c r="V223" s="112">
        <v>701.97399999999993</v>
      </c>
    </row>
    <row r="224" spans="1:22" x14ac:dyDescent="0.2">
      <c r="A224" s="47" t="s">
        <v>84</v>
      </c>
      <c r="B224" s="112">
        <v>42.396999999999998</v>
      </c>
      <c r="C224" s="112">
        <v>206.52</v>
      </c>
      <c r="D224" s="112">
        <v>538.84799999999996</v>
      </c>
      <c r="E224" s="112">
        <v>341.88499999999999</v>
      </c>
      <c r="F224" s="112">
        <v>205.99800000000002</v>
      </c>
      <c r="G224" s="112">
        <v>0.02</v>
      </c>
      <c r="H224" s="122">
        <v>1335.6689999999999</v>
      </c>
      <c r="I224" s="112">
        <v>32.35</v>
      </c>
      <c r="J224" s="112">
        <v>203.62800000000001</v>
      </c>
      <c r="K224" s="112">
        <v>304.85500000000002</v>
      </c>
      <c r="L224" s="112">
        <v>312.61400000000003</v>
      </c>
      <c r="M224" s="112">
        <v>179.024</v>
      </c>
      <c r="N224" s="112">
        <v>6.923</v>
      </c>
      <c r="O224" s="122">
        <v>1039.396</v>
      </c>
      <c r="P224" s="112">
        <v>74.747</v>
      </c>
      <c r="Q224" s="112">
        <v>410.14800000000002</v>
      </c>
      <c r="R224" s="112">
        <v>843.70299999999997</v>
      </c>
      <c r="S224" s="112">
        <v>654.49900000000002</v>
      </c>
      <c r="T224" s="112">
        <v>385.02200000000005</v>
      </c>
      <c r="U224" s="112">
        <v>6.9429999999999996</v>
      </c>
      <c r="V224" s="112">
        <v>2375.0649999999996</v>
      </c>
    </row>
    <row r="225" spans="1:22" x14ac:dyDescent="0.2">
      <c r="A225" s="114"/>
      <c r="B225" s="112"/>
      <c r="C225" s="112"/>
      <c r="D225" s="112"/>
      <c r="E225" s="112"/>
      <c r="F225" s="112"/>
      <c r="G225" s="112"/>
      <c r="H225" s="122"/>
      <c r="I225" s="112"/>
      <c r="J225" s="112"/>
      <c r="K225" s="112"/>
      <c r="L225" s="112"/>
      <c r="M225" s="112"/>
      <c r="N225" s="112"/>
      <c r="O225" s="122"/>
      <c r="P225" s="112"/>
      <c r="Q225" s="112"/>
      <c r="R225" s="112"/>
      <c r="S225" s="112"/>
      <c r="T225" s="112"/>
      <c r="U225" s="112"/>
      <c r="V225" s="112"/>
    </row>
    <row r="226" spans="1:22" x14ac:dyDescent="0.2">
      <c r="A226" s="114">
        <v>2010</v>
      </c>
      <c r="B226" s="112"/>
      <c r="C226" s="112"/>
      <c r="D226" s="112"/>
      <c r="E226" s="112"/>
      <c r="F226" s="112"/>
      <c r="G226" s="112"/>
      <c r="H226" s="122"/>
      <c r="I226" s="112"/>
      <c r="J226" s="112"/>
      <c r="K226" s="112"/>
      <c r="L226" s="112"/>
      <c r="M226" s="112"/>
      <c r="N226" s="112"/>
      <c r="O226" s="122"/>
      <c r="P226" s="112"/>
      <c r="Q226" s="112"/>
      <c r="R226" s="112"/>
      <c r="S226" s="112"/>
      <c r="T226" s="112"/>
      <c r="U226" s="112"/>
      <c r="V226" s="112"/>
    </row>
    <row r="227" spans="1:22" x14ac:dyDescent="0.2">
      <c r="A227" s="47" t="s">
        <v>74</v>
      </c>
      <c r="B227" s="112">
        <v>11.551</v>
      </c>
      <c r="C227" s="112">
        <v>64.775999999999996</v>
      </c>
      <c r="D227" s="112">
        <v>182.483</v>
      </c>
      <c r="E227" s="112">
        <v>111.535</v>
      </c>
      <c r="F227" s="112">
        <v>60.154000000000003</v>
      </c>
      <c r="G227" s="112">
        <v>0</v>
      </c>
      <c r="H227" s="122">
        <v>430.49900000000002</v>
      </c>
      <c r="I227" s="112">
        <v>8.7900000000000009</v>
      </c>
      <c r="J227" s="112">
        <v>53.166000000000004</v>
      </c>
      <c r="K227" s="112">
        <v>81.253</v>
      </c>
      <c r="L227" s="112">
        <v>84.460999999999999</v>
      </c>
      <c r="M227" s="112">
        <v>41.003999999999998</v>
      </c>
      <c r="N227" s="112">
        <v>2.1949999999999998</v>
      </c>
      <c r="O227" s="122">
        <v>270.86700000000002</v>
      </c>
      <c r="P227" s="112">
        <v>20.341000000000001</v>
      </c>
      <c r="Q227" s="112">
        <v>117.94200000000001</v>
      </c>
      <c r="R227" s="112">
        <v>263.73599999999999</v>
      </c>
      <c r="S227" s="112">
        <v>195.99599999999998</v>
      </c>
      <c r="T227" s="112">
        <v>101.158</v>
      </c>
      <c r="U227" s="112">
        <v>2.1949999999999998</v>
      </c>
      <c r="V227" s="112">
        <v>701.36599999999999</v>
      </c>
    </row>
    <row r="228" spans="1:22" x14ac:dyDescent="0.2">
      <c r="A228" s="47" t="s">
        <v>75</v>
      </c>
      <c r="B228" s="112">
        <v>12.093999999999999</v>
      </c>
      <c r="C228" s="112">
        <v>65.058000000000007</v>
      </c>
      <c r="D228" s="112">
        <v>177.44</v>
      </c>
      <c r="E228" s="112">
        <v>117.07300000000001</v>
      </c>
      <c r="F228" s="112">
        <v>62.45</v>
      </c>
      <c r="G228" s="112">
        <v>0</v>
      </c>
      <c r="H228" s="122">
        <v>434.11200000000002</v>
      </c>
      <c r="I228" s="112">
        <v>9.1029999999999998</v>
      </c>
      <c r="J228" s="112">
        <v>58.628999999999998</v>
      </c>
      <c r="K228" s="112">
        <v>80.900999999999996</v>
      </c>
      <c r="L228" s="112">
        <v>100.82300000000001</v>
      </c>
      <c r="M228" s="112">
        <v>45.548000000000002</v>
      </c>
      <c r="N228" s="112">
        <v>2.2810000000000001</v>
      </c>
      <c r="O228" s="122">
        <v>297.28399999999999</v>
      </c>
      <c r="P228" s="112">
        <v>21.196999999999999</v>
      </c>
      <c r="Q228" s="112">
        <v>123.68700000000001</v>
      </c>
      <c r="R228" s="112">
        <v>258.34100000000001</v>
      </c>
      <c r="S228" s="112">
        <v>217.89600000000002</v>
      </c>
      <c r="T228" s="112">
        <v>107.998</v>
      </c>
      <c r="U228" s="112">
        <v>2.2810000000000001</v>
      </c>
      <c r="V228" s="112">
        <v>731.39599999999996</v>
      </c>
    </row>
    <row r="229" spans="1:22" x14ac:dyDescent="0.2">
      <c r="A229" s="47" t="s">
        <v>76</v>
      </c>
      <c r="B229" s="112">
        <v>14.479000000000001</v>
      </c>
      <c r="C229" s="112">
        <v>81.100000000000009</v>
      </c>
      <c r="D229" s="112">
        <v>210.21</v>
      </c>
      <c r="E229" s="112">
        <v>145.25200000000001</v>
      </c>
      <c r="F229" s="112">
        <v>76.498000000000005</v>
      </c>
      <c r="G229" s="112">
        <v>0</v>
      </c>
      <c r="H229" s="122">
        <v>527.53600000000006</v>
      </c>
      <c r="I229" s="112">
        <v>11.351000000000001</v>
      </c>
      <c r="J229" s="112">
        <v>72.552999999999997</v>
      </c>
      <c r="K229" s="112">
        <v>97.256</v>
      </c>
      <c r="L229" s="112">
        <v>102.869</v>
      </c>
      <c r="M229" s="112">
        <v>54.734000000000002</v>
      </c>
      <c r="N229" s="112">
        <v>2.6930000000000001</v>
      </c>
      <c r="O229" s="122">
        <v>341.45800000000003</v>
      </c>
      <c r="P229" s="112">
        <v>25.830000000000002</v>
      </c>
      <c r="Q229" s="112">
        <v>153.65300000000002</v>
      </c>
      <c r="R229" s="112">
        <v>307.46600000000001</v>
      </c>
      <c r="S229" s="112">
        <v>248.12100000000001</v>
      </c>
      <c r="T229" s="112">
        <v>131.232</v>
      </c>
      <c r="U229" s="112">
        <v>2.6930000000000001</v>
      </c>
      <c r="V229" s="112">
        <v>868.99400000000014</v>
      </c>
    </row>
    <row r="230" spans="1:22" x14ac:dyDescent="0.2">
      <c r="A230" s="47" t="s">
        <v>77</v>
      </c>
      <c r="B230" s="112">
        <v>38.124000000000002</v>
      </c>
      <c r="C230" s="112">
        <v>210.93400000000003</v>
      </c>
      <c r="D230" s="112">
        <v>570.13300000000004</v>
      </c>
      <c r="E230" s="112">
        <v>373.86</v>
      </c>
      <c r="F230" s="112">
        <v>199.10200000000003</v>
      </c>
      <c r="G230" s="112">
        <v>0</v>
      </c>
      <c r="H230" s="122">
        <v>1392.1470000000002</v>
      </c>
      <c r="I230" s="112">
        <v>29.244</v>
      </c>
      <c r="J230" s="112">
        <v>184.34800000000001</v>
      </c>
      <c r="K230" s="112">
        <v>259.40999999999997</v>
      </c>
      <c r="L230" s="112">
        <v>288.15300000000002</v>
      </c>
      <c r="M230" s="112">
        <v>141.286</v>
      </c>
      <c r="N230" s="112">
        <v>7.1690000000000005</v>
      </c>
      <c r="O230" s="122">
        <v>909.60900000000015</v>
      </c>
      <c r="P230" s="112">
        <v>67.367999999999995</v>
      </c>
      <c r="Q230" s="112">
        <v>395.28200000000004</v>
      </c>
      <c r="R230" s="112">
        <v>829.54300000000001</v>
      </c>
      <c r="S230" s="112">
        <v>662.01300000000003</v>
      </c>
      <c r="T230" s="112">
        <v>340.38800000000003</v>
      </c>
      <c r="U230" s="112">
        <v>7.1690000000000005</v>
      </c>
      <c r="V230" s="112">
        <v>2301.7560000000003</v>
      </c>
    </row>
    <row r="231" spans="1:22" x14ac:dyDescent="0.2">
      <c r="A231" s="47" t="s">
        <v>78</v>
      </c>
      <c r="B231" s="112">
        <v>13.115</v>
      </c>
      <c r="C231" s="112">
        <v>66.575000000000003</v>
      </c>
      <c r="D231" s="112">
        <v>192.529</v>
      </c>
      <c r="E231" s="112">
        <v>134.38300000000001</v>
      </c>
      <c r="F231" s="112">
        <v>67.097999999999999</v>
      </c>
      <c r="G231" s="112">
        <v>0</v>
      </c>
      <c r="H231" s="122">
        <v>473.69600000000003</v>
      </c>
      <c r="I231" s="112">
        <v>9.2750000000000004</v>
      </c>
      <c r="J231" s="112">
        <v>63.689</v>
      </c>
      <c r="K231" s="112">
        <v>85.61</v>
      </c>
      <c r="L231" s="112">
        <v>92.144999999999996</v>
      </c>
      <c r="M231" s="112">
        <v>53.209000000000003</v>
      </c>
      <c r="N231" s="112">
        <v>1.9750000000000001</v>
      </c>
      <c r="O231" s="122">
        <v>305.904</v>
      </c>
      <c r="P231" s="112">
        <v>22.39</v>
      </c>
      <c r="Q231" s="112">
        <v>130.26400000000001</v>
      </c>
      <c r="R231" s="112">
        <v>278.13900000000001</v>
      </c>
      <c r="S231" s="112">
        <v>226.52800000000002</v>
      </c>
      <c r="T231" s="112">
        <v>120.307</v>
      </c>
      <c r="U231" s="112">
        <v>1.9750000000000001</v>
      </c>
      <c r="V231" s="112">
        <v>779.6</v>
      </c>
    </row>
    <row r="232" spans="1:22" x14ac:dyDescent="0.2">
      <c r="A232" s="47" t="s">
        <v>79</v>
      </c>
      <c r="B232" s="112">
        <v>13.747</v>
      </c>
      <c r="C232" s="112">
        <v>71.602999999999994</v>
      </c>
      <c r="D232" s="112">
        <v>190.113</v>
      </c>
      <c r="E232" s="112">
        <v>132.09100000000001</v>
      </c>
      <c r="F232" s="112">
        <v>65.097000000000008</v>
      </c>
      <c r="G232" s="112">
        <v>0</v>
      </c>
      <c r="H232" s="122">
        <v>472.65600000000001</v>
      </c>
      <c r="I232" s="112">
        <v>10.297000000000001</v>
      </c>
      <c r="J232" s="112">
        <v>67.552999999999997</v>
      </c>
      <c r="K232" s="112">
        <v>92.356999999999999</v>
      </c>
      <c r="L232" s="112">
        <v>109.91800000000001</v>
      </c>
      <c r="M232" s="112">
        <v>57.618000000000002</v>
      </c>
      <c r="N232" s="112">
        <v>2.399</v>
      </c>
      <c r="O232" s="122">
        <v>340.14300000000003</v>
      </c>
      <c r="P232" s="112">
        <v>24.044</v>
      </c>
      <c r="Q232" s="112">
        <v>139.15600000000001</v>
      </c>
      <c r="R232" s="112">
        <v>282.47000000000003</v>
      </c>
      <c r="S232" s="112">
        <v>242.00900000000001</v>
      </c>
      <c r="T232" s="112">
        <v>122.715</v>
      </c>
      <c r="U232" s="112">
        <v>2.399</v>
      </c>
      <c r="V232" s="112">
        <v>812.79899999999998</v>
      </c>
    </row>
    <row r="233" spans="1:22" x14ac:dyDescent="0.2">
      <c r="A233" s="47" t="s">
        <v>89</v>
      </c>
      <c r="B233" s="112">
        <v>16.330000000000002</v>
      </c>
      <c r="C233" s="112">
        <v>75.632000000000005</v>
      </c>
      <c r="D233" s="112">
        <v>183.85499999999999</v>
      </c>
      <c r="E233" s="112">
        <v>128.934</v>
      </c>
      <c r="F233" s="112">
        <v>65.332999999999998</v>
      </c>
      <c r="G233" s="112">
        <v>0</v>
      </c>
      <c r="H233" s="122">
        <v>470.08199999999999</v>
      </c>
      <c r="I233" s="112">
        <v>11.92</v>
      </c>
      <c r="J233" s="112">
        <v>79.022999999999996</v>
      </c>
      <c r="K233" s="112">
        <v>93.034000000000006</v>
      </c>
      <c r="L233" s="112">
        <v>117.562</v>
      </c>
      <c r="M233" s="112">
        <v>61.085999999999999</v>
      </c>
      <c r="N233" s="112">
        <v>2.2720000000000002</v>
      </c>
      <c r="O233" s="122">
        <v>364.89800000000002</v>
      </c>
      <c r="P233" s="112">
        <v>28.25</v>
      </c>
      <c r="Q233" s="112">
        <v>154.655</v>
      </c>
      <c r="R233" s="112">
        <v>276.88900000000001</v>
      </c>
      <c r="S233" s="112">
        <v>246.49599999999998</v>
      </c>
      <c r="T233" s="112">
        <v>126.419</v>
      </c>
      <c r="U233" s="112">
        <v>2.2720000000000002</v>
      </c>
      <c r="V233" s="112">
        <v>834.98</v>
      </c>
    </row>
    <row r="234" spans="1:22" x14ac:dyDescent="0.2">
      <c r="A234" s="47" t="s">
        <v>80</v>
      </c>
      <c r="B234" s="112">
        <v>43.192000000000007</v>
      </c>
      <c r="C234" s="112">
        <v>213.81</v>
      </c>
      <c r="D234" s="112">
        <v>566.49699999999996</v>
      </c>
      <c r="E234" s="112">
        <v>395.40800000000002</v>
      </c>
      <c r="F234" s="112">
        <v>197.52799999999999</v>
      </c>
      <c r="G234" s="112">
        <v>0</v>
      </c>
      <c r="H234" s="122">
        <v>1416.4340000000002</v>
      </c>
      <c r="I234" s="112">
        <v>31.492000000000004</v>
      </c>
      <c r="J234" s="112">
        <v>210.26499999999999</v>
      </c>
      <c r="K234" s="112">
        <v>271.00099999999998</v>
      </c>
      <c r="L234" s="112">
        <v>319.625</v>
      </c>
      <c r="M234" s="112">
        <v>171.91300000000001</v>
      </c>
      <c r="N234" s="112">
        <v>6.6460000000000008</v>
      </c>
      <c r="O234" s="122">
        <v>1010.9450000000001</v>
      </c>
      <c r="P234" s="112">
        <v>74.684000000000012</v>
      </c>
      <c r="Q234" s="112">
        <v>424.07499999999999</v>
      </c>
      <c r="R234" s="112">
        <v>837.49799999999993</v>
      </c>
      <c r="S234" s="112">
        <v>715.03300000000002</v>
      </c>
      <c r="T234" s="112">
        <v>369.44100000000003</v>
      </c>
      <c r="U234" s="112">
        <v>6.6460000000000008</v>
      </c>
      <c r="V234" s="112">
        <v>2427.3790000000004</v>
      </c>
    </row>
    <row r="235" spans="1:22" x14ac:dyDescent="0.2">
      <c r="A235" s="47" t="s">
        <v>90</v>
      </c>
      <c r="B235" s="112">
        <v>15.55</v>
      </c>
      <c r="C235" s="112">
        <v>77.856999999999999</v>
      </c>
      <c r="D235" s="112">
        <v>178.952</v>
      </c>
      <c r="E235" s="112">
        <v>129.01500000000001</v>
      </c>
      <c r="F235" s="112">
        <v>66.543999999999997</v>
      </c>
      <c r="G235" s="112">
        <v>0</v>
      </c>
      <c r="H235" s="122">
        <v>467.91800000000001</v>
      </c>
      <c r="I235" s="112">
        <v>11.639000000000001</v>
      </c>
      <c r="J235" s="112">
        <v>74.05</v>
      </c>
      <c r="K235" s="112">
        <v>91.302999999999997</v>
      </c>
      <c r="L235" s="112">
        <v>109.449</v>
      </c>
      <c r="M235" s="112">
        <v>62.541000000000004</v>
      </c>
      <c r="N235" s="112">
        <v>2.5169999999999999</v>
      </c>
      <c r="O235" s="122">
        <v>351.49900000000002</v>
      </c>
      <c r="P235" s="112">
        <v>27.189</v>
      </c>
      <c r="Q235" s="112">
        <v>151.90699999999998</v>
      </c>
      <c r="R235" s="112">
        <v>270.255</v>
      </c>
      <c r="S235" s="112">
        <v>238.464</v>
      </c>
      <c r="T235" s="112">
        <v>129.08500000000001</v>
      </c>
      <c r="U235" s="112">
        <v>2.5169999999999999</v>
      </c>
      <c r="V235" s="112">
        <v>819.41700000000003</v>
      </c>
    </row>
    <row r="236" spans="1:22" x14ac:dyDescent="0.2">
      <c r="A236" s="47" t="s">
        <v>81</v>
      </c>
      <c r="B236" s="112">
        <v>15.84</v>
      </c>
      <c r="C236" s="112">
        <v>80.314999999999998</v>
      </c>
      <c r="D236" s="112">
        <v>185.667</v>
      </c>
      <c r="E236" s="112">
        <v>132.33799999999999</v>
      </c>
      <c r="F236" s="112">
        <v>69.143000000000001</v>
      </c>
      <c r="G236" s="112">
        <v>0</v>
      </c>
      <c r="H236" s="122">
        <v>483.303</v>
      </c>
      <c r="I236" s="112">
        <v>12.207000000000001</v>
      </c>
      <c r="J236" s="112">
        <v>73.070000000000007</v>
      </c>
      <c r="K236" s="112">
        <v>104.203</v>
      </c>
      <c r="L236" s="112">
        <v>127.008</v>
      </c>
      <c r="M236" s="112">
        <v>66.591999999999999</v>
      </c>
      <c r="N236" s="112">
        <v>3.2210000000000001</v>
      </c>
      <c r="O236" s="122">
        <v>386.29900000000004</v>
      </c>
      <c r="P236" s="112">
        <v>28.047000000000001</v>
      </c>
      <c r="Q236" s="112">
        <v>153.38499999999999</v>
      </c>
      <c r="R236" s="112">
        <v>289.87</v>
      </c>
      <c r="S236" s="112">
        <v>259.346</v>
      </c>
      <c r="T236" s="112">
        <v>135.73500000000001</v>
      </c>
      <c r="U236" s="112">
        <v>3.2210000000000001</v>
      </c>
      <c r="V236" s="112">
        <v>869.60200000000009</v>
      </c>
    </row>
    <row r="237" spans="1:22" x14ac:dyDescent="0.2">
      <c r="A237" s="47" t="s">
        <v>82</v>
      </c>
      <c r="B237" s="112">
        <v>15.169</v>
      </c>
      <c r="C237" s="112">
        <v>81.808000000000007</v>
      </c>
      <c r="D237" s="112">
        <v>188.69</v>
      </c>
      <c r="E237" s="112">
        <v>123.089</v>
      </c>
      <c r="F237" s="112">
        <v>64.171000000000006</v>
      </c>
      <c r="G237" s="112">
        <v>0</v>
      </c>
      <c r="H237" s="122">
        <v>472.93</v>
      </c>
      <c r="I237" s="112">
        <v>11.471</v>
      </c>
      <c r="J237" s="112">
        <v>65.703000000000003</v>
      </c>
      <c r="K237" s="112">
        <v>102.178</v>
      </c>
      <c r="L237" s="112">
        <v>120.77</v>
      </c>
      <c r="M237" s="112">
        <v>63.076999999999998</v>
      </c>
      <c r="N237" s="112">
        <v>2.758</v>
      </c>
      <c r="O237" s="122">
        <v>365.95800000000003</v>
      </c>
      <c r="P237" s="112">
        <v>26.64</v>
      </c>
      <c r="Q237" s="112">
        <v>147.51100000000002</v>
      </c>
      <c r="R237" s="112">
        <v>290.86799999999999</v>
      </c>
      <c r="S237" s="112">
        <v>243.85899999999998</v>
      </c>
      <c r="T237" s="112">
        <v>127.248</v>
      </c>
      <c r="U237" s="112">
        <v>2.758</v>
      </c>
      <c r="V237" s="112">
        <v>838.88800000000003</v>
      </c>
    </row>
    <row r="238" spans="1:22" x14ac:dyDescent="0.2">
      <c r="A238" s="47" t="s">
        <v>83</v>
      </c>
      <c r="B238" s="112">
        <v>46.558999999999997</v>
      </c>
      <c r="C238" s="112">
        <v>239.98000000000002</v>
      </c>
      <c r="D238" s="112">
        <v>553.30899999999997</v>
      </c>
      <c r="E238" s="112">
        <v>384.44200000000001</v>
      </c>
      <c r="F238" s="112">
        <v>199.858</v>
      </c>
      <c r="G238" s="112">
        <v>0</v>
      </c>
      <c r="H238" s="122">
        <v>1424.1510000000001</v>
      </c>
      <c r="I238" s="112">
        <v>35.317000000000007</v>
      </c>
      <c r="J238" s="112">
        <v>212.82300000000001</v>
      </c>
      <c r="K238" s="112">
        <v>297.68399999999997</v>
      </c>
      <c r="L238" s="112">
        <v>357.22699999999998</v>
      </c>
      <c r="M238" s="112">
        <v>192.21</v>
      </c>
      <c r="N238" s="112">
        <v>8.4959999999999987</v>
      </c>
      <c r="O238" s="122">
        <v>1103.7560000000001</v>
      </c>
      <c r="P238" s="112">
        <v>81.876000000000005</v>
      </c>
      <c r="Q238" s="112">
        <v>452.803</v>
      </c>
      <c r="R238" s="112">
        <v>850.99299999999994</v>
      </c>
      <c r="S238" s="112">
        <v>741.66899999999998</v>
      </c>
      <c r="T238" s="112">
        <v>392.06800000000004</v>
      </c>
      <c r="U238" s="112">
        <v>8.4959999999999987</v>
      </c>
      <c r="V238" s="112">
        <v>2527.9070000000002</v>
      </c>
    </row>
    <row r="239" spans="1:22" x14ac:dyDescent="0.2">
      <c r="A239" s="47" t="s">
        <v>85</v>
      </c>
      <c r="B239" s="112">
        <v>14.97</v>
      </c>
      <c r="C239" s="112">
        <v>77.010999999999996</v>
      </c>
      <c r="D239" s="112">
        <v>208.53800000000001</v>
      </c>
      <c r="E239" s="112">
        <v>132.46899999999999</v>
      </c>
      <c r="F239" s="112">
        <v>68.262</v>
      </c>
      <c r="G239" s="112">
        <v>0.01</v>
      </c>
      <c r="H239" s="122">
        <v>501.26</v>
      </c>
      <c r="I239" s="112">
        <v>11.4</v>
      </c>
      <c r="J239" s="112">
        <v>76.739000000000004</v>
      </c>
      <c r="K239" s="112">
        <v>95.733000000000004</v>
      </c>
      <c r="L239" s="112">
        <v>120.99000000000001</v>
      </c>
      <c r="M239" s="112">
        <v>62.957000000000001</v>
      </c>
      <c r="N239" s="112">
        <v>2.5870000000000002</v>
      </c>
      <c r="O239" s="122">
        <v>370.40199999999999</v>
      </c>
      <c r="P239" s="112">
        <v>26.37</v>
      </c>
      <c r="Q239" s="112">
        <v>153.75</v>
      </c>
      <c r="R239" s="112">
        <v>304.27100000000002</v>
      </c>
      <c r="S239" s="112">
        <v>253.459</v>
      </c>
      <c r="T239" s="112">
        <v>131.21899999999999</v>
      </c>
      <c r="U239" s="112">
        <v>2.597</v>
      </c>
      <c r="V239" s="112">
        <v>871.66200000000003</v>
      </c>
    </row>
    <row r="240" spans="1:22" x14ac:dyDescent="0.2">
      <c r="A240" s="47" t="s">
        <v>86</v>
      </c>
      <c r="B240" s="112">
        <v>14.187000000000001</v>
      </c>
      <c r="C240" s="112">
        <v>72.759</v>
      </c>
      <c r="D240" s="112">
        <v>176.27100000000002</v>
      </c>
      <c r="E240" s="112">
        <v>129.48400000000001</v>
      </c>
      <c r="F240" s="112">
        <v>68.591000000000008</v>
      </c>
      <c r="G240" s="112">
        <v>0</v>
      </c>
      <c r="H240" s="122">
        <v>461.29300000000001</v>
      </c>
      <c r="I240" s="112">
        <v>10.439</v>
      </c>
      <c r="J240" s="112">
        <v>71.489999999999995</v>
      </c>
      <c r="K240" s="112">
        <v>105.387</v>
      </c>
      <c r="L240" s="112">
        <v>114.66</v>
      </c>
      <c r="M240" s="112">
        <v>60.085999999999999</v>
      </c>
      <c r="N240" s="112">
        <v>2.3460000000000001</v>
      </c>
      <c r="O240" s="122">
        <v>364.40500000000003</v>
      </c>
      <c r="P240" s="112">
        <v>24.626000000000001</v>
      </c>
      <c r="Q240" s="112">
        <v>144.249</v>
      </c>
      <c r="R240" s="112">
        <v>281.65800000000002</v>
      </c>
      <c r="S240" s="112">
        <v>244.14400000000001</v>
      </c>
      <c r="T240" s="112">
        <v>128.67700000000002</v>
      </c>
      <c r="U240" s="112">
        <v>2.3460000000000001</v>
      </c>
      <c r="V240" s="112">
        <v>825.69800000000009</v>
      </c>
    </row>
    <row r="241" spans="1:22" x14ac:dyDescent="0.2">
      <c r="A241" s="47" t="s">
        <v>87</v>
      </c>
      <c r="B241" s="112">
        <v>13.198</v>
      </c>
      <c r="C241" s="112">
        <v>60.518000000000001</v>
      </c>
      <c r="D241" s="112">
        <v>166.53</v>
      </c>
      <c r="E241" s="112">
        <v>106.042</v>
      </c>
      <c r="F241" s="112">
        <v>59.907000000000004</v>
      </c>
      <c r="G241" s="112">
        <v>-0.01</v>
      </c>
      <c r="H241" s="122">
        <v>406.18400000000003</v>
      </c>
      <c r="I241" s="112">
        <v>8.9030000000000005</v>
      </c>
      <c r="J241" s="112">
        <v>62.587000000000003</v>
      </c>
      <c r="K241" s="112">
        <v>97.664000000000001</v>
      </c>
      <c r="L241" s="112">
        <v>94.984000000000009</v>
      </c>
      <c r="M241" s="112">
        <v>52.279000000000003</v>
      </c>
      <c r="N241" s="112">
        <v>1.875</v>
      </c>
      <c r="O241" s="122">
        <v>318.29200000000003</v>
      </c>
      <c r="P241" s="112">
        <v>22.100999999999999</v>
      </c>
      <c r="Q241" s="112">
        <v>123.105</v>
      </c>
      <c r="R241" s="112">
        <v>264.19400000000002</v>
      </c>
      <c r="S241" s="112">
        <v>201.02600000000001</v>
      </c>
      <c r="T241" s="112">
        <v>112.18600000000001</v>
      </c>
      <c r="U241" s="112">
        <v>1.865</v>
      </c>
      <c r="V241" s="112">
        <v>724.47600000000011</v>
      </c>
    </row>
    <row r="242" spans="1:22" x14ac:dyDescent="0.2">
      <c r="A242" s="47" t="s">
        <v>84</v>
      </c>
      <c r="B242" s="112">
        <v>42.355000000000004</v>
      </c>
      <c r="C242" s="112">
        <v>210.28799999999998</v>
      </c>
      <c r="D242" s="112">
        <v>551.33900000000006</v>
      </c>
      <c r="E242" s="112">
        <v>367.995</v>
      </c>
      <c r="F242" s="112">
        <v>196.76000000000002</v>
      </c>
      <c r="G242" s="112">
        <v>0</v>
      </c>
      <c r="H242" s="122">
        <v>1368.7370000000001</v>
      </c>
      <c r="I242" s="112">
        <v>30.741999999999997</v>
      </c>
      <c r="J242" s="112">
        <v>210.81599999999997</v>
      </c>
      <c r="K242" s="112">
        <v>298.78399999999999</v>
      </c>
      <c r="L242" s="112">
        <v>330.63400000000001</v>
      </c>
      <c r="M242" s="112">
        <v>175.322</v>
      </c>
      <c r="N242" s="112">
        <v>6.8079999999999998</v>
      </c>
      <c r="O242" s="122">
        <v>1053.0990000000002</v>
      </c>
      <c r="P242" s="112">
        <v>73.097000000000008</v>
      </c>
      <c r="Q242" s="112">
        <v>421.10399999999993</v>
      </c>
      <c r="R242" s="112">
        <v>850.12300000000005</v>
      </c>
      <c r="S242" s="112">
        <v>698.62900000000002</v>
      </c>
      <c r="T242" s="112">
        <v>372.08199999999999</v>
      </c>
      <c r="U242" s="112">
        <v>6.8079999999999998</v>
      </c>
      <c r="V242" s="112">
        <v>2421.8360000000002</v>
      </c>
    </row>
    <row r="243" spans="1:22" x14ac:dyDescent="0.2">
      <c r="A243" s="114"/>
      <c r="B243" s="112"/>
      <c r="C243" s="112"/>
      <c r="D243" s="112"/>
      <c r="E243" s="112"/>
      <c r="F243" s="112"/>
      <c r="G243" s="112"/>
      <c r="H243" s="122"/>
      <c r="I243" s="112"/>
      <c r="J243" s="112"/>
      <c r="K243" s="112"/>
      <c r="L243" s="112"/>
      <c r="M243" s="112"/>
      <c r="N243" s="112"/>
      <c r="O243" s="122"/>
      <c r="P243" s="112"/>
      <c r="Q243" s="112"/>
      <c r="R243" s="112"/>
      <c r="S243" s="112"/>
      <c r="T243" s="112"/>
      <c r="U243" s="112"/>
      <c r="V243" s="112"/>
    </row>
    <row r="244" spans="1:22" x14ac:dyDescent="0.2">
      <c r="A244" s="114">
        <v>2011</v>
      </c>
      <c r="B244" s="112"/>
      <c r="C244" s="112"/>
      <c r="D244" s="112"/>
      <c r="E244" s="112"/>
      <c r="F244" s="112"/>
      <c r="G244" s="112"/>
      <c r="H244" s="122"/>
      <c r="I244" s="112"/>
      <c r="J244" s="112"/>
      <c r="K244" s="112"/>
      <c r="L244" s="112"/>
      <c r="M244" s="112"/>
      <c r="N244" s="112"/>
      <c r="O244" s="122"/>
      <c r="P244" s="112"/>
      <c r="Q244" s="112"/>
      <c r="R244" s="112"/>
      <c r="S244" s="112"/>
      <c r="T244" s="112"/>
      <c r="U244" s="112"/>
      <c r="V244" s="112"/>
    </row>
    <row r="245" spans="1:22" x14ac:dyDescent="0.2">
      <c r="A245" s="47" t="s">
        <v>74</v>
      </c>
      <c r="B245" s="112">
        <v>13.523</v>
      </c>
      <c r="C245" s="112">
        <v>74.807000000000002</v>
      </c>
      <c r="D245" s="112">
        <v>198.50800000000001</v>
      </c>
      <c r="E245" s="112">
        <v>120.27800000000001</v>
      </c>
      <c r="F245" s="112">
        <v>63.064</v>
      </c>
      <c r="G245" s="112">
        <v>0</v>
      </c>
      <c r="H245" s="122">
        <v>470.18099999999998</v>
      </c>
      <c r="I245" s="112">
        <v>9.0570000000000004</v>
      </c>
      <c r="J245" s="112">
        <v>56.9</v>
      </c>
      <c r="K245" s="112">
        <v>77.244</v>
      </c>
      <c r="L245" s="112">
        <v>86.269000000000005</v>
      </c>
      <c r="M245" s="112">
        <v>42.547000000000004</v>
      </c>
      <c r="N245" s="112">
        <v>2.19</v>
      </c>
      <c r="O245" s="122">
        <v>274.20800000000003</v>
      </c>
      <c r="P245" s="112">
        <v>22.58</v>
      </c>
      <c r="Q245" s="112">
        <v>131.70699999999999</v>
      </c>
      <c r="R245" s="112">
        <v>275.75200000000001</v>
      </c>
      <c r="S245" s="112">
        <v>206.54700000000003</v>
      </c>
      <c r="T245" s="112">
        <v>105.611</v>
      </c>
      <c r="U245" s="112">
        <v>2.19</v>
      </c>
      <c r="V245" s="112">
        <v>744.38900000000001</v>
      </c>
    </row>
    <row r="246" spans="1:22" x14ac:dyDescent="0.2">
      <c r="A246" s="47" t="s">
        <v>75</v>
      </c>
      <c r="B246" s="112">
        <v>13.713000000000001</v>
      </c>
      <c r="C246" s="112">
        <v>67.650999999999996</v>
      </c>
      <c r="D246" s="112">
        <v>166.804</v>
      </c>
      <c r="E246" s="112">
        <v>109.233</v>
      </c>
      <c r="F246" s="112">
        <v>66.33</v>
      </c>
      <c r="G246" s="112">
        <v>0</v>
      </c>
      <c r="H246" s="122">
        <v>423.72800000000001</v>
      </c>
      <c r="I246" s="112">
        <v>8.9550000000000001</v>
      </c>
      <c r="J246" s="112">
        <v>56.366</v>
      </c>
      <c r="K246" s="112">
        <v>81.787999999999997</v>
      </c>
      <c r="L246" s="112">
        <v>94.638999999999996</v>
      </c>
      <c r="M246" s="112">
        <v>45.88</v>
      </c>
      <c r="N246" s="112">
        <v>2.2730000000000001</v>
      </c>
      <c r="O246" s="122">
        <v>289.90199999999999</v>
      </c>
      <c r="P246" s="112">
        <v>22.667999999999999</v>
      </c>
      <c r="Q246" s="112">
        <v>124.017</v>
      </c>
      <c r="R246" s="112">
        <v>248.59199999999998</v>
      </c>
      <c r="S246" s="112">
        <v>203.87200000000001</v>
      </c>
      <c r="T246" s="112">
        <v>112.21000000000001</v>
      </c>
      <c r="U246" s="112">
        <v>2.2730000000000001</v>
      </c>
      <c r="V246" s="112">
        <v>713.63</v>
      </c>
    </row>
    <row r="247" spans="1:22" x14ac:dyDescent="0.2">
      <c r="A247" s="47" t="s">
        <v>76</v>
      </c>
      <c r="B247" s="112">
        <v>16.413</v>
      </c>
      <c r="C247" s="112">
        <v>81.433000000000007</v>
      </c>
      <c r="D247" s="112">
        <v>202.19900000000001</v>
      </c>
      <c r="E247" s="112">
        <v>130.566</v>
      </c>
      <c r="F247" s="112">
        <v>78.268000000000001</v>
      </c>
      <c r="G247" s="112">
        <v>0</v>
      </c>
      <c r="H247" s="122">
        <v>508.87799999999999</v>
      </c>
      <c r="I247" s="112">
        <v>9.7050000000000001</v>
      </c>
      <c r="J247" s="112">
        <v>63.024999999999999</v>
      </c>
      <c r="K247" s="112">
        <v>92.641999999999996</v>
      </c>
      <c r="L247" s="112">
        <v>120.43</v>
      </c>
      <c r="M247" s="112">
        <v>59.643999999999998</v>
      </c>
      <c r="N247" s="112">
        <v>2.859</v>
      </c>
      <c r="O247" s="122">
        <v>348.30200000000002</v>
      </c>
      <c r="P247" s="112">
        <v>26.118000000000002</v>
      </c>
      <c r="Q247" s="112">
        <v>144.458</v>
      </c>
      <c r="R247" s="112">
        <v>294.84100000000001</v>
      </c>
      <c r="S247" s="112">
        <v>250.99600000000001</v>
      </c>
      <c r="T247" s="112">
        <v>137.91200000000001</v>
      </c>
      <c r="U247" s="112">
        <v>2.859</v>
      </c>
      <c r="V247" s="112">
        <v>857.18000000000006</v>
      </c>
    </row>
    <row r="248" spans="1:22" x14ac:dyDescent="0.2">
      <c r="A248" s="47" t="s">
        <v>77</v>
      </c>
      <c r="B248" s="112">
        <v>43.649000000000001</v>
      </c>
      <c r="C248" s="112">
        <v>223.89100000000002</v>
      </c>
      <c r="D248" s="112">
        <v>567.51099999999997</v>
      </c>
      <c r="E248" s="112">
        <v>360.077</v>
      </c>
      <c r="F248" s="112">
        <v>207.66200000000001</v>
      </c>
      <c r="G248" s="112">
        <v>0</v>
      </c>
      <c r="H248" s="122">
        <v>1402.787</v>
      </c>
      <c r="I248" s="112">
        <v>27.716999999999999</v>
      </c>
      <c r="J248" s="112">
        <v>176.291</v>
      </c>
      <c r="K248" s="112">
        <v>251.67399999999998</v>
      </c>
      <c r="L248" s="112">
        <v>301.33800000000002</v>
      </c>
      <c r="M248" s="112">
        <v>148.071</v>
      </c>
      <c r="N248" s="112">
        <v>7.3220000000000001</v>
      </c>
      <c r="O248" s="122">
        <v>912.41200000000003</v>
      </c>
      <c r="P248" s="112">
        <v>71.366</v>
      </c>
      <c r="Q248" s="112">
        <v>400.18200000000002</v>
      </c>
      <c r="R248" s="112">
        <v>819.18500000000006</v>
      </c>
      <c r="S248" s="112">
        <v>661.41500000000008</v>
      </c>
      <c r="T248" s="112">
        <v>355.73300000000006</v>
      </c>
      <c r="U248" s="112">
        <v>7.3220000000000001</v>
      </c>
      <c r="V248" s="112">
        <v>2315.1990000000001</v>
      </c>
    </row>
    <row r="249" spans="1:22" x14ac:dyDescent="0.2">
      <c r="A249" s="47" t="s">
        <v>78</v>
      </c>
      <c r="B249" s="112">
        <v>15.146000000000001</v>
      </c>
      <c r="C249" s="112">
        <v>72.147999999999996</v>
      </c>
      <c r="D249" s="112">
        <v>179.65200000000002</v>
      </c>
      <c r="E249" s="112">
        <v>120.77800000000001</v>
      </c>
      <c r="F249" s="112">
        <v>67.58</v>
      </c>
      <c r="G249" s="112">
        <v>0</v>
      </c>
      <c r="H249" s="122">
        <v>455.30400000000003</v>
      </c>
      <c r="I249" s="112">
        <v>9.7710000000000008</v>
      </c>
      <c r="J249" s="112">
        <v>60.794000000000004</v>
      </c>
      <c r="K249" s="112">
        <v>90.599000000000004</v>
      </c>
      <c r="L249" s="112">
        <v>105.221</v>
      </c>
      <c r="M249" s="112">
        <v>51.444000000000003</v>
      </c>
      <c r="N249" s="112">
        <v>1.9750000000000001</v>
      </c>
      <c r="O249" s="122">
        <v>319.803</v>
      </c>
      <c r="P249" s="112">
        <v>24.917000000000002</v>
      </c>
      <c r="Q249" s="112">
        <v>132.94200000000001</v>
      </c>
      <c r="R249" s="112">
        <v>270.25100000000003</v>
      </c>
      <c r="S249" s="112">
        <v>225.99900000000002</v>
      </c>
      <c r="T249" s="112">
        <v>119.024</v>
      </c>
      <c r="U249" s="112">
        <v>1.9750000000000001</v>
      </c>
      <c r="V249" s="112">
        <v>775.10699999999997</v>
      </c>
    </row>
    <row r="250" spans="1:22" x14ac:dyDescent="0.2">
      <c r="A250" s="47" t="s">
        <v>79</v>
      </c>
      <c r="B250" s="112">
        <v>14.950000000000001</v>
      </c>
      <c r="C250" s="112">
        <v>70.963999999999999</v>
      </c>
      <c r="D250" s="112">
        <v>183.5</v>
      </c>
      <c r="E250" s="112">
        <v>131.09800000000001</v>
      </c>
      <c r="F250" s="112">
        <v>74.225000000000009</v>
      </c>
      <c r="G250" s="112">
        <v>0</v>
      </c>
      <c r="H250" s="122">
        <v>474.74099999999999</v>
      </c>
      <c r="I250" s="112">
        <v>9.57</v>
      </c>
      <c r="J250" s="112">
        <v>58.405999999999999</v>
      </c>
      <c r="K250" s="112">
        <v>91.394000000000005</v>
      </c>
      <c r="L250" s="112">
        <v>115.68300000000001</v>
      </c>
      <c r="M250" s="112">
        <v>48.325000000000003</v>
      </c>
      <c r="N250" s="112">
        <v>2.5540000000000003</v>
      </c>
      <c r="O250" s="122">
        <v>325.93299999999999</v>
      </c>
      <c r="P250" s="112">
        <v>24.520000000000003</v>
      </c>
      <c r="Q250" s="112">
        <v>129.37</v>
      </c>
      <c r="R250" s="112">
        <v>274.89400000000001</v>
      </c>
      <c r="S250" s="112">
        <v>246.78100000000001</v>
      </c>
      <c r="T250" s="112">
        <v>122.55000000000001</v>
      </c>
      <c r="U250" s="112">
        <v>2.5540000000000003</v>
      </c>
      <c r="V250" s="112">
        <v>800.67399999999998</v>
      </c>
    </row>
    <row r="251" spans="1:22" x14ac:dyDescent="0.2">
      <c r="A251" s="47" t="s">
        <v>89</v>
      </c>
      <c r="B251" s="112">
        <v>15.447000000000001</v>
      </c>
      <c r="C251" s="112">
        <v>70.826000000000008</v>
      </c>
      <c r="D251" s="112">
        <v>194.971</v>
      </c>
      <c r="E251" s="112">
        <v>118.158</v>
      </c>
      <c r="F251" s="112">
        <v>80.593000000000004</v>
      </c>
      <c r="G251" s="112">
        <v>0</v>
      </c>
      <c r="H251" s="122">
        <v>479.995</v>
      </c>
      <c r="I251" s="112">
        <v>9.3330000000000002</v>
      </c>
      <c r="J251" s="112">
        <v>57.038000000000004</v>
      </c>
      <c r="K251" s="112">
        <v>89.150999999999996</v>
      </c>
      <c r="L251" s="112">
        <v>133.05700000000002</v>
      </c>
      <c r="M251" s="112">
        <v>55.805</v>
      </c>
      <c r="N251" s="112">
        <v>2.2930000000000001</v>
      </c>
      <c r="O251" s="122">
        <v>346.67900000000003</v>
      </c>
      <c r="P251" s="112">
        <v>24.78</v>
      </c>
      <c r="Q251" s="112">
        <v>127.864</v>
      </c>
      <c r="R251" s="112">
        <v>284.12200000000001</v>
      </c>
      <c r="S251" s="112">
        <v>251.21500000000003</v>
      </c>
      <c r="T251" s="112">
        <v>136.398</v>
      </c>
      <c r="U251" s="112">
        <v>2.2930000000000001</v>
      </c>
      <c r="V251" s="112">
        <v>826.67399999999998</v>
      </c>
    </row>
    <row r="252" spans="1:22" x14ac:dyDescent="0.2">
      <c r="A252" s="47" t="s">
        <v>80</v>
      </c>
      <c r="B252" s="112">
        <v>45.543000000000006</v>
      </c>
      <c r="C252" s="112">
        <v>213.93799999999999</v>
      </c>
      <c r="D252" s="112">
        <v>558.12300000000005</v>
      </c>
      <c r="E252" s="112">
        <v>370.03400000000005</v>
      </c>
      <c r="F252" s="112">
        <v>222.39800000000002</v>
      </c>
      <c r="G252" s="112">
        <v>0</v>
      </c>
      <c r="H252" s="122">
        <v>1410.04</v>
      </c>
      <c r="I252" s="112">
        <v>28.673999999999999</v>
      </c>
      <c r="J252" s="112">
        <v>176.238</v>
      </c>
      <c r="K252" s="112">
        <v>271.14400000000001</v>
      </c>
      <c r="L252" s="112">
        <v>353.96100000000001</v>
      </c>
      <c r="M252" s="112">
        <v>155.57400000000001</v>
      </c>
      <c r="N252" s="112">
        <v>6.8220000000000001</v>
      </c>
      <c r="O252" s="122">
        <v>992.41499999999996</v>
      </c>
      <c r="P252" s="112">
        <v>74.217000000000013</v>
      </c>
      <c r="Q252" s="112">
        <v>390.17600000000004</v>
      </c>
      <c r="R252" s="112">
        <v>829.26700000000005</v>
      </c>
      <c r="S252" s="112">
        <v>723.99500000000012</v>
      </c>
      <c r="T252" s="112">
        <v>377.97199999999998</v>
      </c>
      <c r="U252" s="112">
        <v>6.8220000000000001</v>
      </c>
      <c r="V252" s="112">
        <v>2402.4549999999999</v>
      </c>
    </row>
    <row r="253" spans="1:22" x14ac:dyDescent="0.2">
      <c r="A253" s="47" t="s">
        <v>90</v>
      </c>
      <c r="B253" s="112">
        <v>16.132000000000001</v>
      </c>
      <c r="C253" s="112">
        <v>68.400000000000006</v>
      </c>
      <c r="D253" s="112">
        <v>193.113</v>
      </c>
      <c r="E253" s="112">
        <v>116.87</v>
      </c>
      <c r="F253" s="112">
        <v>74.953000000000003</v>
      </c>
      <c r="G253" s="112">
        <v>0</v>
      </c>
      <c r="H253" s="122">
        <v>469.46899999999999</v>
      </c>
      <c r="I253" s="112">
        <v>10.704000000000001</v>
      </c>
      <c r="J253" s="112">
        <v>67.716000000000008</v>
      </c>
      <c r="K253" s="112">
        <v>89.73</v>
      </c>
      <c r="L253" s="112">
        <v>120.22800000000001</v>
      </c>
      <c r="M253" s="112">
        <v>56.916000000000004</v>
      </c>
      <c r="N253" s="112">
        <v>2.7349999999999999</v>
      </c>
      <c r="O253" s="122">
        <v>348.02800000000002</v>
      </c>
      <c r="P253" s="112">
        <v>26.836000000000002</v>
      </c>
      <c r="Q253" s="112">
        <v>136.11600000000001</v>
      </c>
      <c r="R253" s="112">
        <v>282.84300000000002</v>
      </c>
      <c r="S253" s="112">
        <v>237.09800000000001</v>
      </c>
      <c r="T253" s="112">
        <v>131.869</v>
      </c>
      <c r="U253" s="112">
        <v>2.7349999999999999</v>
      </c>
      <c r="V253" s="112">
        <v>817.49700000000007</v>
      </c>
    </row>
    <row r="254" spans="1:22" x14ac:dyDescent="0.2">
      <c r="A254" s="47" t="s">
        <v>81</v>
      </c>
      <c r="B254" s="112">
        <v>16.29</v>
      </c>
      <c r="C254" s="112">
        <v>75.548000000000002</v>
      </c>
      <c r="D254" s="112">
        <v>217.245</v>
      </c>
      <c r="E254" s="112">
        <v>128.458</v>
      </c>
      <c r="F254" s="112">
        <v>81.414000000000001</v>
      </c>
      <c r="G254" s="112">
        <v>0</v>
      </c>
      <c r="H254" s="122">
        <v>518.95400000000006</v>
      </c>
      <c r="I254" s="112">
        <v>11.431000000000001</v>
      </c>
      <c r="J254" s="112">
        <v>90.278999999999996</v>
      </c>
      <c r="K254" s="112">
        <v>97.471000000000004</v>
      </c>
      <c r="L254" s="112">
        <v>143.768</v>
      </c>
      <c r="M254" s="112">
        <v>62.972000000000001</v>
      </c>
      <c r="N254" s="112">
        <v>2.5009999999999999</v>
      </c>
      <c r="O254" s="122">
        <v>408.42</v>
      </c>
      <c r="P254" s="112">
        <v>27.721</v>
      </c>
      <c r="Q254" s="112">
        <v>165.827</v>
      </c>
      <c r="R254" s="112">
        <v>314.71600000000001</v>
      </c>
      <c r="S254" s="112">
        <v>272.226</v>
      </c>
      <c r="T254" s="112">
        <v>144.386</v>
      </c>
      <c r="U254" s="112">
        <v>2.5009999999999999</v>
      </c>
      <c r="V254" s="112">
        <v>927.37400000000002</v>
      </c>
    </row>
    <row r="255" spans="1:22" x14ac:dyDescent="0.2">
      <c r="A255" s="47" t="s">
        <v>82</v>
      </c>
      <c r="B255" s="112">
        <v>15.555</v>
      </c>
      <c r="C255" s="112">
        <v>63.908000000000001</v>
      </c>
      <c r="D255" s="112">
        <v>185.86600000000001</v>
      </c>
      <c r="E255" s="112">
        <v>103.316</v>
      </c>
      <c r="F255" s="112">
        <v>73.457999999999998</v>
      </c>
      <c r="G255" s="112">
        <v>0</v>
      </c>
      <c r="H255" s="122">
        <v>442.10200000000003</v>
      </c>
      <c r="I255" s="112">
        <v>9.8849999999999998</v>
      </c>
      <c r="J255" s="112">
        <v>65.881</v>
      </c>
      <c r="K255" s="112">
        <v>112.919</v>
      </c>
      <c r="L255" s="112">
        <v>141.47499999999999</v>
      </c>
      <c r="M255" s="112">
        <v>64.341999999999999</v>
      </c>
      <c r="N255" s="112">
        <v>2.617</v>
      </c>
      <c r="O255" s="122">
        <v>397.12099999999998</v>
      </c>
      <c r="P255" s="112">
        <v>25.439999999999998</v>
      </c>
      <c r="Q255" s="112">
        <v>129.78899999999999</v>
      </c>
      <c r="R255" s="112">
        <v>298.78500000000003</v>
      </c>
      <c r="S255" s="112">
        <v>244.791</v>
      </c>
      <c r="T255" s="112">
        <v>137.80000000000001</v>
      </c>
      <c r="U255" s="112">
        <v>2.617</v>
      </c>
      <c r="V255" s="112">
        <v>839.22299999999996</v>
      </c>
    </row>
    <row r="256" spans="1:22" x14ac:dyDescent="0.2">
      <c r="A256" s="47" t="s">
        <v>83</v>
      </c>
      <c r="B256" s="112">
        <v>47.976999999999997</v>
      </c>
      <c r="C256" s="112">
        <v>207.85599999999999</v>
      </c>
      <c r="D256" s="112">
        <v>596.22400000000005</v>
      </c>
      <c r="E256" s="112">
        <v>348.64400000000001</v>
      </c>
      <c r="F256" s="112">
        <v>229.82500000000002</v>
      </c>
      <c r="G256" s="112">
        <v>0</v>
      </c>
      <c r="H256" s="122">
        <v>1430.5250000000001</v>
      </c>
      <c r="I256" s="112">
        <v>32.020000000000003</v>
      </c>
      <c r="J256" s="112">
        <v>223.876</v>
      </c>
      <c r="K256" s="112">
        <v>300.12</v>
      </c>
      <c r="L256" s="112">
        <v>405.471</v>
      </c>
      <c r="M256" s="112">
        <v>184.23000000000002</v>
      </c>
      <c r="N256" s="112">
        <v>7.8529999999999998</v>
      </c>
      <c r="O256" s="122">
        <v>1153.569</v>
      </c>
      <c r="P256" s="112">
        <v>79.997</v>
      </c>
      <c r="Q256" s="112">
        <v>431.73199999999997</v>
      </c>
      <c r="R256" s="112">
        <v>896.34400000000005</v>
      </c>
      <c r="S256" s="112">
        <v>754.11500000000001</v>
      </c>
      <c r="T256" s="112">
        <v>414.05500000000001</v>
      </c>
      <c r="U256" s="112">
        <v>7.8529999999999998</v>
      </c>
      <c r="V256" s="112">
        <v>2584.0940000000001</v>
      </c>
    </row>
    <row r="257" spans="1:22" x14ac:dyDescent="0.2">
      <c r="A257" s="47" t="s">
        <v>85</v>
      </c>
      <c r="B257" s="112">
        <v>16.222999999999999</v>
      </c>
      <c r="C257" s="112">
        <v>74.257000000000005</v>
      </c>
      <c r="D257" s="112">
        <v>189.94300000000001</v>
      </c>
      <c r="E257" s="112">
        <v>116.327</v>
      </c>
      <c r="F257" s="112">
        <v>75.299000000000007</v>
      </c>
      <c r="G257" s="112">
        <v>0</v>
      </c>
      <c r="H257" s="122">
        <v>472.04900000000004</v>
      </c>
      <c r="I257" s="112">
        <v>11.542</v>
      </c>
      <c r="J257" s="112">
        <v>75.7</v>
      </c>
      <c r="K257" s="112">
        <v>95.256</v>
      </c>
      <c r="L257" s="112">
        <v>132.82900000000001</v>
      </c>
      <c r="M257" s="112">
        <v>63.765999999999998</v>
      </c>
      <c r="N257" s="112">
        <v>2.6670000000000003</v>
      </c>
      <c r="O257" s="122">
        <v>381.75799999999998</v>
      </c>
      <c r="P257" s="112">
        <v>27.765000000000001</v>
      </c>
      <c r="Q257" s="112">
        <v>149.95699999999999</v>
      </c>
      <c r="R257" s="112">
        <v>285.19900000000001</v>
      </c>
      <c r="S257" s="112">
        <v>249.15600000000001</v>
      </c>
      <c r="T257" s="112">
        <v>139.065</v>
      </c>
      <c r="U257" s="112">
        <v>2.6670000000000003</v>
      </c>
      <c r="V257" s="112">
        <v>853.80700000000002</v>
      </c>
    </row>
    <row r="258" spans="1:22" x14ac:dyDescent="0.2">
      <c r="A258" s="47" t="s">
        <v>86</v>
      </c>
      <c r="B258" s="112">
        <v>15.818</v>
      </c>
      <c r="C258" s="112">
        <v>70.622</v>
      </c>
      <c r="D258" s="112">
        <v>172.22800000000001</v>
      </c>
      <c r="E258" s="112">
        <v>113.494</v>
      </c>
      <c r="F258" s="112">
        <v>71.600999999999999</v>
      </c>
      <c r="G258" s="112">
        <v>0</v>
      </c>
      <c r="H258" s="122">
        <v>443.76300000000003</v>
      </c>
      <c r="I258" s="112">
        <v>10.364000000000001</v>
      </c>
      <c r="J258" s="112">
        <v>69.37</v>
      </c>
      <c r="K258" s="112">
        <v>94.820999999999998</v>
      </c>
      <c r="L258" s="112">
        <v>117.151</v>
      </c>
      <c r="M258" s="112">
        <v>64.62</v>
      </c>
      <c r="N258" s="112">
        <v>2.5169999999999999</v>
      </c>
      <c r="O258" s="122">
        <v>358.84199999999998</v>
      </c>
      <c r="P258" s="112">
        <v>26.182000000000002</v>
      </c>
      <c r="Q258" s="112">
        <v>139.99200000000002</v>
      </c>
      <c r="R258" s="112">
        <v>267.04899999999998</v>
      </c>
      <c r="S258" s="112">
        <v>230.64499999999998</v>
      </c>
      <c r="T258" s="112">
        <v>136.221</v>
      </c>
      <c r="U258" s="112">
        <v>2.5169999999999999</v>
      </c>
      <c r="V258" s="112">
        <v>802.60500000000002</v>
      </c>
    </row>
    <row r="259" spans="1:22" x14ac:dyDescent="0.2">
      <c r="A259" s="47" t="s">
        <v>87</v>
      </c>
      <c r="B259" s="112">
        <v>14.015000000000001</v>
      </c>
      <c r="C259" s="112">
        <v>61.75</v>
      </c>
      <c r="D259" s="112">
        <v>155.29500000000002</v>
      </c>
      <c r="E259" s="112">
        <v>110.49000000000001</v>
      </c>
      <c r="F259" s="112">
        <v>60.874000000000002</v>
      </c>
      <c r="G259" s="112">
        <v>0</v>
      </c>
      <c r="H259" s="122">
        <v>402.42700000000002</v>
      </c>
      <c r="I259" s="112">
        <v>9.66</v>
      </c>
      <c r="J259" s="112">
        <v>57.117000000000004</v>
      </c>
      <c r="K259" s="112">
        <v>83.248000000000005</v>
      </c>
      <c r="L259" s="112">
        <v>103.071</v>
      </c>
      <c r="M259" s="112">
        <v>49.298000000000002</v>
      </c>
      <c r="N259" s="112">
        <v>2.3719999999999999</v>
      </c>
      <c r="O259" s="122">
        <v>304.76600000000002</v>
      </c>
      <c r="P259" s="112">
        <v>23.675000000000001</v>
      </c>
      <c r="Q259" s="112">
        <v>118.867</v>
      </c>
      <c r="R259" s="112">
        <v>238.54300000000001</v>
      </c>
      <c r="S259" s="112">
        <v>213.56100000000001</v>
      </c>
      <c r="T259" s="112">
        <v>110.172</v>
      </c>
      <c r="U259" s="112">
        <v>2.3719999999999999</v>
      </c>
      <c r="V259" s="112">
        <v>707.19299999999998</v>
      </c>
    </row>
    <row r="260" spans="1:22" x14ac:dyDescent="0.2">
      <c r="A260" s="47" t="s">
        <v>84</v>
      </c>
      <c r="B260" s="112">
        <v>46.055999999999997</v>
      </c>
      <c r="C260" s="112">
        <v>206.62900000000002</v>
      </c>
      <c r="D260" s="112">
        <v>517.46600000000012</v>
      </c>
      <c r="E260" s="112">
        <v>340.31100000000004</v>
      </c>
      <c r="F260" s="112">
        <v>207.774</v>
      </c>
      <c r="G260" s="112">
        <v>0</v>
      </c>
      <c r="H260" s="122">
        <v>1318.239</v>
      </c>
      <c r="I260" s="112">
        <v>31.565999999999999</v>
      </c>
      <c r="J260" s="112">
        <v>202.18700000000001</v>
      </c>
      <c r="K260" s="112">
        <v>273.32499999999999</v>
      </c>
      <c r="L260" s="112">
        <v>353.05100000000004</v>
      </c>
      <c r="M260" s="112">
        <v>177.684</v>
      </c>
      <c r="N260" s="112">
        <v>7.556</v>
      </c>
      <c r="O260" s="122">
        <v>1045.366</v>
      </c>
      <c r="P260" s="112">
        <v>77.622</v>
      </c>
      <c r="Q260" s="112">
        <v>408.81600000000003</v>
      </c>
      <c r="R260" s="112">
        <v>790.79100000000005</v>
      </c>
      <c r="S260" s="112">
        <v>693.36199999999997</v>
      </c>
      <c r="T260" s="112">
        <v>385.45799999999997</v>
      </c>
      <c r="U260" s="112">
        <v>7.556</v>
      </c>
      <c r="V260" s="112">
        <v>2363.605</v>
      </c>
    </row>
    <row r="261" spans="1:22" x14ac:dyDescent="0.2">
      <c r="A261" s="114"/>
      <c r="B261" s="112"/>
      <c r="C261" s="112"/>
      <c r="D261" s="112"/>
      <c r="E261" s="112"/>
      <c r="F261" s="112"/>
      <c r="G261" s="112"/>
      <c r="H261" s="122"/>
      <c r="I261" s="112"/>
      <c r="J261" s="112"/>
      <c r="K261" s="112"/>
      <c r="L261" s="112"/>
      <c r="M261" s="112"/>
      <c r="N261" s="112"/>
      <c r="O261" s="122"/>
      <c r="P261" s="112"/>
      <c r="Q261" s="112"/>
      <c r="R261" s="112"/>
      <c r="S261" s="112"/>
      <c r="T261" s="112"/>
      <c r="U261" s="112"/>
      <c r="V261" s="112"/>
    </row>
    <row r="262" spans="1:22" x14ac:dyDescent="0.2">
      <c r="A262" s="114">
        <v>2012</v>
      </c>
      <c r="B262" s="112"/>
      <c r="C262" s="112"/>
      <c r="D262" s="112"/>
      <c r="E262" s="112"/>
      <c r="F262" s="112"/>
      <c r="G262" s="112"/>
      <c r="H262" s="122"/>
      <c r="I262" s="112"/>
      <c r="J262" s="112"/>
      <c r="K262" s="112"/>
      <c r="L262" s="112"/>
      <c r="M262" s="112"/>
      <c r="N262" s="112"/>
      <c r="O262" s="122"/>
      <c r="P262" s="112"/>
      <c r="Q262" s="112"/>
      <c r="R262" s="112"/>
      <c r="S262" s="112"/>
      <c r="T262" s="112"/>
      <c r="U262" s="112"/>
      <c r="V262" s="112"/>
    </row>
    <row r="263" spans="1:22" x14ac:dyDescent="0.2">
      <c r="A263" s="47" t="s">
        <v>74</v>
      </c>
      <c r="B263" s="112">
        <v>13.358000000000001</v>
      </c>
      <c r="C263" s="112">
        <v>66.341999999999999</v>
      </c>
      <c r="D263" s="112">
        <v>184.65899999999999</v>
      </c>
      <c r="E263" s="112">
        <v>118.039</v>
      </c>
      <c r="F263" s="112">
        <v>64.072000000000003</v>
      </c>
      <c r="G263" s="112">
        <v>0</v>
      </c>
      <c r="H263" s="122">
        <v>446.47399999999999</v>
      </c>
      <c r="I263" s="112">
        <v>8.4589999999999996</v>
      </c>
      <c r="J263" s="112">
        <v>54.094000000000001</v>
      </c>
      <c r="K263" s="112">
        <v>72.891000000000005</v>
      </c>
      <c r="L263" s="112">
        <v>85.346000000000004</v>
      </c>
      <c r="M263" s="112">
        <v>45.036000000000001</v>
      </c>
      <c r="N263" s="112">
        <v>2.15</v>
      </c>
      <c r="O263" s="122">
        <v>267.97700000000003</v>
      </c>
      <c r="P263" s="112">
        <v>21.817</v>
      </c>
      <c r="Q263" s="112">
        <v>120.43600000000001</v>
      </c>
      <c r="R263" s="112">
        <v>257.55</v>
      </c>
      <c r="S263" s="112">
        <v>203.38499999999999</v>
      </c>
      <c r="T263" s="112">
        <v>109.108</v>
      </c>
      <c r="U263" s="112">
        <v>2.15</v>
      </c>
      <c r="V263" s="112">
        <v>714.45100000000002</v>
      </c>
    </row>
    <row r="264" spans="1:22" x14ac:dyDescent="0.2">
      <c r="A264" s="47" t="s">
        <v>75</v>
      </c>
      <c r="B264" s="112">
        <v>13.34</v>
      </c>
      <c r="C264" s="112">
        <v>65.183999999999997</v>
      </c>
      <c r="D264" s="112">
        <v>181.816</v>
      </c>
      <c r="E264" s="112">
        <v>124.985</v>
      </c>
      <c r="F264" s="112">
        <v>69.888000000000005</v>
      </c>
      <c r="G264" s="112">
        <v>0</v>
      </c>
      <c r="H264" s="122">
        <v>455.214</v>
      </c>
      <c r="I264" s="112">
        <v>9.2000000000000011</v>
      </c>
      <c r="J264" s="112">
        <v>55.929000000000002</v>
      </c>
      <c r="K264" s="112">
        <v>82.284000000000006</v>
      </c>
      <c r="L264" s="112">
        <v>95.787999999999997</v>
      </c>
      <c r="M264" s="112">
        <v>53.058</v>
      </c>
      <c r="N264" s="112">
        <v>2.323</v>
      </c>
      <c r="O264" s="122">
        <v>298.58199999999999</v>
      </c>
      <c r="P264" s="112">
        <v>22.54</v>
      </c>
      <c r="Q264" s="112">
        <v>121.113</v>
      </c>
      <c r="R264" s="112">
        <v>264.10000000000002</v>
      </c>
      <c r="S264" s="112">
        <v>220.773</v>
      </c>
      <c r="T264" s="112">
        <v>122.946</v>
      </c>
      <c r="U264" s="112">
        <v>2.323</v>
      </c>
      <c r="V264" s="112">
        <v>753.79600000000005</v>
      </c>
    </row>
    <row r="265" spans="1:22" x14ac:dyDescent="0.2">
      <c r="A265" s="47" t="s">
        <v>76</v>
      </c>
      <c r="B265" s="112">
        <v>16.047000000000001</v>
      </c>
      <c r="C265" s="112">
        <v>73.259</v>
      </c>
      <c r="D265" s="112">
        <v>205.99700000000001</v>
      </c>
      <c r="E265" s="112">
        <v>143.41499999999999</v>
      </c>
      <c r="F265" s="112">
        <v>74.7</v>
      </c>
      <c r="G265" s="112">
        <v>0</v>
      </c>
      <c r="H265" s="122">
        <v>513.41700000000003</v>
      </c>
      <c r="I265" s="112">
        <v>10.572000000000001</v>
      </c>
      <c r="J265" s="112">
        <v>69.022999999999996</v>
      </c>
      <c r="K265" s="112">
        <v>88.426000000000002</v>
      </c>
      <c r="L265" s="112">
        <v>112.991</v>
      </c>
      <c r="M265" s="112">
        <v>49.495000000000005</v>
      </c>
      <c r="N265" s="112">
        <v>2.7029999999999998</v>
      </c>
      <c r="O265" s="122">
        <v>333.21199999999999</v>
      </c>
      <c r="P265" s="112">
        <v>26.619</v>
      </c>
      <c r="Q265" s="112">
        <v>142.28199999999998</v>
      </c>
      <c r="R265" s="112">
        <v>294.423</v>
      </c>
      <c r="S265" s="112">
        <v>256.40600000000001</v>
      </c>
      <c r="T265" s="112">
        <v>124.19500000000001</v>
      </c>
      <c r="U265" s="112">
        <v>2.7029999999999998</v>
      </c>
      <c r="V265" s="112">
        <v>846.62900000000002</v>
      </c>
    </row>
    <row r="266" spans="1:22" x14ac:dyDescent="0.2">
      <c r="A266" s="47" t="s">
        <v>77</v>
      </c>
      <c r="B266" s="112">
        <v>42.745000000000005</v>
      </c>
      <c r="C266" s="112">
        <v>204.78500000000003</v>
      </c>
      <c r="D266" s="112">
        <v>572.47199999999998</v>
      </c>
      <c r="E266" s="112">
        <v>386.43899999999996</v>
      </c>
      <c r="F266" s="112">
        <v>208.66000000000003</v>
      </c>
      <c r="G266" s="112">
        <v>0</v>
      </c>
      <c r="H266" s="122">
        <v>1415.105</v>
      </c>
      <c r="I266" s="112">
        <v>28.231000000000002</v>
      </c>
      <c r="J266" s="112">
        <v>179.04599999999999</v>
      </c>
      <c r="K266" s="112">
        <v>243.601</v>
      </c>
      <c r="L266" s="112">
        <v>294.125</v>
      </c>
      <c r="M266" s="112">
        <v>147.589</v>
      </c>
      <c r="N266" s="112">
        <v>7.1760000000000002</v>
      </c>
      <c r="O266" s="122">
        <v>899.77099999999996</v>
      </c>
      <c r="P266" s="112">
        <v>70.975999999999999</v>
      </c>
      <c r="Q266" s="112">
        <v>383.83100000000002</v>
      </c>
      <c r="R266" s="112">
        <v>816.07300000000009</v>
      </c>
      <c r="S266" s="112">
        <v>680.56400000000008</v>
      </c>
      <c r="T266" s="112">
        <v>356.24900000000002</v>
      </c>
      <c r="U266" s="112">
        <v>7.1760000000000002</v>
      </c>
      <c r="V266" s="112">
        <v>2314.8760000000002</v>
      </c>
    </row>
    <row r="267" spans="1:22" x14ac:dyDescent="0.2">
      <c r="A267" s="47" t="s">
        <v>78</v>
      </c>
      <c r="B267" s="112">
        <v>13.883000000000001</v>
      </c>
      <c r="C267" s="112">
        <v>63.855000000000004</v>
      </c>
      <c r="D267" s="112">
        <v>179.73099999999999</v>
      </c>
      <c r="E267" s="112">
        <v>125.881</v>
      </c>
      <c r="F267" s="112">
        <v>73.617000000000004</v>
      </c>
      <c r="G267" s="112">
        <v>0</v>
      </c>
      <c r="H267" s="122">
        <v>456.96500000000003</v>
      </c>
      <c r="I267" s="112">
        <v>8.7729999999999997</v>
      </c>
      <c r="J267" s="112">
        <v>54.727000000000004</v>
      </c>
      <c r="K267" s="112">
        <v>77.623000000000005</v>
      </c>
      <c r="L267" s="112">
        <v>92.414000000000001</v>
      </c>
      <c r="M267" s="112">
        <v>46.664000000000001</v>
      </c>
      <c r="N267" s="112">
        <v>2.2709999999999999</v>
      </c>
      <c r="O267" s="122">
        <v>282.46899999999999</v>
      </c>
      <c r="P267" s="112">
        <v>22.655999999999999</v>
      </c>
      <c r="Q267" s="112">
        <v>118.58200000000001</v>
      </c>
      <c r="R267" s="112">
        <v>257.35399999999998</v>
      </c>
      <c r="S267" s="112">
        <v>218.29500000000002</v>
      </c>
      <c r="T267" s="112">
        <v>120.28100000000001</v>
      </c>
      <c r="U267" s="112">
        <v>2.2709999999999999</v>
      </c>
      <c r="V267" s="112">
        <v>739.43399999999997</v>
      </c>
    </row>
    <row r="268" spans="1:22" x14ac:dyDescent="0.2">
      <c r="A268" s="47" t="s">
        <v>79</v>
      </c>
      <c r="B268" s="112">
        <v>16.318999999999999</v>
      </c>
      <c r="C268" s="112">
        <v>75.173000000000002</v>
      </c>
      <c r="D268" s="112">
        <v>193.28900000000002</v>
      </c>
      <c r="E268" s="112">
        <v>141.268</v>
      </c>
      <c r="F268" s="112">
        <v>82.320999999999998</v>
      </c>
      <c r="G268" s="112">
        <v>0</v>
      </c>
      <c r="H268" s="122">
        <v>508.36900000000003</v>
      </c>
      <c r="I268" s="112">
        <v>10.936999999999999</v>
      </c>
      <c r="J268" s="112">
        <v>65.918000000000006</v>
      </c>
      <c r="K268" s="112">
        <v>91.811999999999998</v>
      </c>
      <c r="L268" s="112">
        <v>103.56</v>
      </c>
      <c r="M268" s="112">
        <v>58.78</v>
      </c>
      <c r="N268" s="112">
        <v>2.3090000000000002</v>
      </c>
      <c r="O268" s="122">
        <v>333.31600000000003</v>
      </c>
      <c r="P268" s="112">
        <v>27.256</v>
      </c>
      <c r="Q268" s="112">
        <v>141.09100000000001</v>
      </c>
      <c r="R268" s="112">
        <v>285.101</v>
      </c>
      <c r="S268" s="112">
        <v>244.828</v>
      </c>
      <c r="T268" s="112">
        <v>141.101</v>
      </c>
      <c r="U268" s="112">
        <v>2.3090000000000002</v>
      </c>
      <c r="V268" s="112">
        <v>841.68500000000006</v>
      </c>
    </row>
    <row r="269" spans="1:22" x14ac:dyDescent="0.2">
      <c r="A269" s="47" t="s">
        <v>89</v>
      </c>
      <c r="B269" s="112">
        <v>16.493000000000002</v>
      </c>
      <c r="C269" s="112">
        <v>73.772999999999996</v>
      </c>
      <c r="D269" s="112">
        <v>191.52700000000002</v>
      </c>
      <c r="E269" s="112">
        <v>134.173</v>
      </c>
      <c r="F269" s="112">
        <v>75.451000000000008</v>
      </c>
      <c r="G269" s="112">
        <v>0</v>
      </c>
      <c r="H269" s="122">
        <v>491.41700000000003</v>
      </c>
      <c r="I269" s="112">
        <v>11.445</v>
      </c>
      <c r="J269" s="112">
        <v>65.373999999999995</v>
      </c>
      <c r="K269" s="112">
        <v>91.878</v>
      </c>
      <c r="L269" s="112">
        <v>106.119</v>
      </c>
      <c r="M269" s="112">
        <v>56.280999999999999</v>
      </c>
      <c r="N269" s="112">
        <v>2.3149999999999999</v>
      </c>
      <c r="O269" s="122">
        <v>333.41399999999999</v>
      </c>
      <c r="P269" s="112">
        <v>27.938000000000002</v>
      </c>
      <c r="Q269" s="112">
        <v>139.14699999999999</v>
      </c>
      <c r="R269" s="112">
        <v>283.40500000000003</v>
      </c>
      <c r="S269" s="112">
        <v>240.292</v>
      </c>
      <c r="T269" s="112">
        <v>131.732</v>
      </c>
      <c r="U269" s="112">
        <v>2.3149999999999999</v>
      </c>
      <c r="V269" s="112">
        <v>824.83100000000002</v>
      </c>
    </row>
    <row r="270" spans="1:22" x14ac:dyDescent="0.2">
      <c r="A270" s="47" t="s">
        <v>80</v>
      </c>
      <c r="B270" s="112">
        <v>46.695</v>
      </c>
      <c r="C270" s="112">
        <v>212.80100000000002</v>
      </c>
      <c r="D270" s="112">
        <v>564.54700000000003</v>
      </c>
      <c r="E270" s="112">
        <v>401.322</v>
      </c>
      <c r="F270" s="112">
        <v>231.38900000000001</v>
      </c>
      <c r="G270" s="112">
        <v>0</v>
      </c>
      <c r="H270" s="122">
        <v>1456.7510000000002</v>
      </c>
      <c r="I270" s="112">
        <v>31.155000000000001</v>
      </c>
      <c r="J270" s="112">
        <v>186.01900000000001</v>
      </c>
      <c r="K270" s="112">
        <v>261.31299999999999</v>
      </c>
      <c r="L270" s="112">
        <v>302.09299999999996</v>
      </c>
      <c r="M270" s="112">
        <v>161.72499999999999</v>
      </c>
      <c r="N270" s="112">
        <v>6.8949999999999996</v>
      </c>
      <c r="O270" s="122">
        <v>949.19900000000007</v>
      </c>
      <c r="P270" s="112">
        <v>77.849999999999994</v>
      </c>
      <c r="Q270" s="112">
        <v>398.82</v>
      </c>
      <c r="R270" s="112">
        <v>825.8599999999999</v>
      </c>
      <c r="S270" s="112">
        <v>703.41500000000008</v>
      </c>
      <c r="T270" s="112">
        <v>393.11400000000003</v>
      </c>
      <c r="U270" s="112">
        <v>6.8949999999999996</v>
      </c>
      <c r="V270" s="112">
        <v>2405.9500000000003</v>
      </c>
    </row>
    <row r="271" spans="1:22" x14ac:dyDescent="0.2">
      <c r="A271" s="47" t="s">
        <v>90</v>
      </c>
      <c r="B271" s="112">
        <v>15.984</v>
      </c>
      <c r="C271" s="112">
        <v>78.349000000000004</v>
      </c>
      <c r="D271" s="112">
        <v>205.499</v>
      </c>
      <c r="E271" s="112">
        <v>138.66800000000001</v>
      </c>
      <c r="F271" s="112">
        <v>74.064000000000007</v>
      </c>
      <c r="G271" s="112">
        <v>0</v>
      </c>
      <c r="H271" s="122">
        <v>512.56399999999996</v>
      </c>
      <c r="I271" s="112">
        <v>11.183</v>
      </c>
      <c r="J271" s="112">
        <v>71.656000000000006</v>
      </c>
      <c r="K271" s="112">
        <v>97.757999999999996</v>
      </c>
      <c r="L271" s="112">
        <v>106.503</v>
      </c>
      <c r="M271" s="112">
        <v>59.331000000000003</v>
      </c>
      <c r="N271" s="112">
        <v>2.4359999999999999</v>
      </c>
      <c r="O271" s="122">
        <v>348.86700000000002</v>
      </c>
      <c r="P271" s="112">
        <v>27.167000000000002</v>
      </c>
      <c r="Q271" s="112">
        <v>150.005</v>
      </c>
      <c r="R271" s="112">
        <v>303.25700000000001</v>
      </c>
      <c r="S271" s="112">
        <v>245.17099999999999</v>
      </c>
      <c r="T271" s="112">
        <v>133.39500000000001</v>
      </c>
      <c r="U271" s="112">
        <v>2.4359999999999999</v>
      </c>
      <c r="V271" s="112">
        <v>861.43100000000004</v>
      </c>
    </row>
    <row r="272" spans="1:22" x14ac:dyDescent="0.2">
      <c r="A272" s="47" t="s">
        <v>81</v>
      </c>
      <c r="B272" s="112">
        <v>17.373999999999999</v>
      </c>
      <c r="C272" s="112">
        <v>81.051000000000002</v>
      </c>
      <c r="D272" s="112">
        <v>213.60500000000002</v>
      </c>
      <c r="E272" s="112">
        <v>133.76599999999999</v>
      </c>
      <c r="F272" s="112">
        <v>73.994</v>
      </c>
      <c r="G272" s="112">
        <v>0</v>
      </c>
      <c r="H272" s="122">
        <v>519.79100000000005</v>
      </c>
      <c r="I272" s="112">
        <v>12.092000000000001</v>
      </c>
      <c r="J272" s="112">
        <v>67.602999999999994</v>
      </c>
      <c r="K272" s="112">
        <v>103.03400000000001</v>
      </c>
      <c r="L272" s="112">
        <v>108.955</v>
      </c>
      <c r="M272" s="112">
        <v>59.454999999999998</v>
      </c>
      <c r="N272" s="112">
        <v>2.456</v>
      </c>
      <c r="O272" s="122">
        <v>353.59300000000002</v>
      </c>
      <c r="P272" s="112">
        <v>29.466000000000001</v>
      </c>
      <c r="Q272" s="112">
        <v>148.654</v>
      </c>
      <c r="R272" s="112">
        <v>316.63900000000001</v>
      </c>
      <c r="S272" s="112">
        <v>242.721</v>
      </c>
      <c r="T272" s="112">
        <v>133.44900000000001</v>
      </c>
      <c r="U272" s="112">
        <v>2.456</v>
      </c>
      <c r="V272" s="112">
        <v>873.38400000000001</v>
      </c>
    </row>
    <row r="273" spans="1:22" x14ac:dyDescent="0.2">
      <c r="A273" s="47" t="s">
        <v>82</v>
      </c>
      <c r="B273" s="112">
        <v>15.099</v>
      </c>
      <c r="C273" s="112">
        <v>68.963999999999999</v>
      </c>
      <c r="D273" s="112">
        <v>202.05100000000002</v>
      </c>
      <c r="E273" s="112">
        <v>117.69800000000001</v>
      </c>
      <c r="F273" s="112">
        <v>62.783000000000001</v>
      </c>
      <c r="G273" s="112">
        <v>0</v>
      </c>
      <c r="H273" s="122">
        <v>466.59700000000004</v>
      </c>
      <c r="I273" s="112">
        <v>11.157</v>
      </c>
      <c r="J273" s="112">
        <v>63.945999999999998</v>
      </c>
      <c r="K273" s="112">
        <v>96.97</v>
      </c>
      <c r="L273" s="112">
        <v>101.592</v>
      </c>
      <c r="M273" s="112">
        <v>57.858000000000004</v>
      </c>
      <c r="N273" s="112">
        <v>2.5030000000000001</v>
      </c>
      <c r="O273" s="122">
        <v>334.02500000000003</v>
      </c>
      <c r="P273" s="112">
        <v>26.256</v>
      </c>
      <c r="Q273" s="112">
        <v>132.91</v>
      </c>
      <c r="R273" s="112">
        <v>299.02100000000002</v>
      </c>
      <c r="S273" s="112">
        <v>219.29000000000002</v>
      </c>
      <c r="T273" s="112">
        <v>120.64100000000001</v>
      </c>
      <c r="U273" s="112">
        <v>2.5030000000000001</v>
      </c>
      <c r="V273" s="112">
        <v>800.62200000000007</v>
      </c>
    </row>
    <row r="274" spans="1:22" x14ac:dyDescent="0.2">
      <c r="A274" s="47" t="s">
        <v>83</v>
      </c>
      <c r="B274" s="112">
        <v>48.456999999999994</v>
      </c>
      <c r="C274" s="112">
        <v>228.364</v>
      </c>
      <c r="D274" s="112">
        <v>621.15500000000009</v>
      </c>
      <c r="E274" s="112">
        <v>390.13199999999995</v>
      </c>
      <c r="F274" s="112">
        <v>210.84100000000001</v>
      </c>
      <c r="G274" s="112">
        <v>0</v>
      </c>
      <c r="H274" s="122">
        <v>1498.952</v>
      </c>
      <c r="I274" s="112">
        <v>34.432000000000002</v>
      </c>
      <c r="J274" s="112">
        <v>203.20500000000001</v>
      </c>
      <c r="K274" s="112">
        <v>297.762</v>
      </c>
      <c r="L274" s="112">
        <v>317.05</v>
      </c>
      <c r="M274" s="112">
        <v>176.64400000000001</v>
      </c>
      <c r="N274" s="112">
        <v>7.3949999999999996</v>
      </c>
      <c r="O274" s="122">
        <v>1036.4850000000001</v>
      </c>
      <c r="P274" s="112">
        <v>82.88900000000001</v>
      </c>
      <c r="Q274" s="112">
        <v>431.56899999999996</v>
      </c>
      <c r="R274" s="112">
        <v>918.91699999999992</v>
      </c>
      <c r="S274" s="112">
        <v>707.18200000000002</v>
      </c>
      <c r="T274" s="112">
        <v>387.48500000000007</v>
      </c>
      <c r="U274" s="112">
        <v>7.3949999999999996</v>
      </c>
      <c r="V274" s="112">
        <v>2535.4369999999999</v>
      </c>
    </row>
    <row r="275" spans="1:22" x14ac:dyDescent="0.2">
      <c r="A275" s="47" t="s">
        <v>85</v>
      </c>
      <c r="B275" s="112">
        <v>16.551000000000002</v>
      </c>
      <c r="C275" s="112">
        <v>72.448999999999998</v>
      </c>
      <c r="D275" s="112">
        <v>210.90299999999999</v>
      </c>
      <c r="E275" s="112">
        <v>133.18700000000001</v>
      </c>
      <c r="F275" s="112">
        <v>76.606999999999999</v>
      </c>
      <c r="G275" s="112">
        <v>0</v>
      </c>
      <c r="H275" s="122">
        <v>509.69400000000002</v>
      </c>
      <c r="I275" s="112">
        <v>11.551</v>
      </c>
      <c r="J275" s="112">
        <v>79.614999999999995</v>
      </c>
      <c r="K275" s="112">
        <v>103.325</v>
      </c>
      <c r="L275" s="112">
        <v>137.083</v>
      </c>
      <c r="M275" s="112">
        <v>64.117000000000004</v>
      </c>
      <c r="N275" s="112">
        <v>2.3370000000000002</v>
      </c>
      <c r="O275" s="122">
        <v>398.02699999999999</v>
      </c>
      <c r="P275" s="112">
        <v>28.102000000000004</v>
      </c>
      <c r="Q275" s="112">
        <v>152.06399999999999</v>
      </c>
      <c r="R275" s="112">
        <v>314.22800000000001</v>
      </c>
      <c r="S275" s="112">
        <v>270.27</v>
      </c>
      <c r="T275" s="112">
        <v>140.72399999999999</v>
      </c>
      <c r="U275" s="112">
        <v>2.3370000000000002</v>
      </c>
      <c r="V275" s="112">
        <v>907.721</v>
      </c>
    </row>
    <row r="276" spans="1:22" x14ac:dyDescent="0.2">
      <c r="A276" s="47" t="s">
        <v>86</v>
      </c>
      <c r="B276" s="112">
        <v>16.937000000000001</v>
      </c>
      <c r="C276" s="112">
        <v>71.108000000000004</v>
      </c>
      <c r="D276" s="112">
        <v>189.97</v>
      </c>
      <c r="E276" s="112">
        <v>126.267</v>
      </c>
      <c r="F276" s="112">
        <v>68.456000000000003</v>
      </c>
      <c r="G276" s="112">
        <v>0</v>
      </c>
      <c r="H276" s="122">
        <v>472.74</v>
      </c>
      <c r="I276" s="112">
        <v>11.756</v>
      </c>
      <c r="J276" s="112">
        <v>74.665999999999997</v>
      </c>
      <c r="K276" s="112">
        <v>111.163</v>
      </c>
      <c r="L276" s="112">
        <v>124.264</v>
      </c>
      <c r="M276" s="112">
        <v>59.678000000000004</v>
      </c>
      <c r="N276" s="112">
        <v>2.5030000000000001</v>
      </c>
      <c r="O276" s="122">
        <v>384.03000000000003</v>
      </c>
      <c r="P276" s="112">
        <v>28.693000000000001</v>
      </c>
      <c r="Q276" s="112">
        <v>145.774</v>
      </c>
      <c r="R276" s="112">
        <v>301.13299999999998</v>
      </c>
      <c r="S276" s="112">
        <v>250.53100000000001</v>
      </c>
      <c r="T276" s="112">
        <v>128.13400000000001</v>
      </c>
      <c r="U276" s="112">
        <v>2.5030000000000001</v>
      </c>
      <c r="V276" s="112">
        <v>856.77</v>
      </c>
    </row>
    <row r="277" spans="1:22" x14ac:dyDescent="0.2">
      <c r="A277" s="47" t="s">
        <v>87</v>
      </c>
      <c r="B277" s="112">
        <v>13.435</v>
      </c>
      <c r="C277" s="112">
        <v>59.494</v>
      </c>
      <c r="D277" s="112">
        <v>155.767</v>
      </c>
      <c r="E277" s="112">
        <v>116.678</v>
      </c>
      <c r="F277" s="112">
        <v>56.756999999999998</v>
      </c>
      <c r="G277" s="112">
        <v>0</v>
      </c>
      <c r="H277" s="122">
        <v>402.12900000000002</v>
      </c>
      <c r="I277" s="112">
        <v>9.1310000000000002</v>
      </c>
      <c r="J277" s="112">
        <v>57.945</v>
      </c>
      <c r="K277" s="112">
        <v>85.83</v>
      </c>
      <c r="L277" s="112">
        <v>91.927999999999997</v>
      </c>
      <c r="M277" s="112">
        <v>44.573999999999998</v>
      </c>
      <c r="N277" s="112">
        <v>2.3290000000000002</v>
      </c>
      <c r="O277" s="122">
        <v>291.738</v>
      </c>
      <c r="P277" s="112">
        <v>22.566000000000003</v>
      </c>
      <c r="Q277" s="112">
        <v>117.43899999999999</v>
      </c>
      <c r="R277" s="112">
        <v>241.59699999999998</v>
      </c>
      <c r="S277" s="112">
        <v>208.60599999999999</v>
      </c>
      <c r="T277" s="112">
        <v>101.33099999999999</v>
      </c>
      <c r="U277" s="112">
        <v>2.3290000000000002</v>
      </c>
      <c r="V277" s="112">
        <v>693.86699999999996</v>
      </c>
    </row>
    <row r="278" spans="1:22" ht="12" customHeight="1" x14ac:dyDescent="0.2">
      <c r="A278" s="47" t="s">
        <v>84</v>
      </c>
      <c r="B278" s="112">
        <v>46.923000000000002</v>
      </c>
      <c r="C278" s="112">
        <v>203.05100000000002</v>
      </c>
      <c r="D278" s="112">
        <v>556.64</v>
      </c>
      <c r="E278" s="112">
        <v>376.13200000000001</v>
      </c>
      <c r="F278" s="112">
        <v>201.82</v>
      </c>
      <c r="G278" s="112">
        <v>0</v>
      </c>
      <c r="H278" s="122">
        <v>1384.5630000000001</v>
      </c>
      <c r="I278" s="112">
        <v>32.438000000000002</v>
      </c>
      <c r="J278" s="112">
        <v>212.226</v>
      </c>
      <c r="K278" s="112">
        <v>300.31799999999998</v>
      </c>
      <c r="L278" s="112">
        <v>353.27499999999998</v>
      </c>
      <c r="M278" s="112">
        <v>168.36900000000003</v>
      </c>
      <c r="N278" s="112">
        <v>7.1690000000000005</v>
      </c>
      <c r="O278" s="122">
        <v>1073.7950000000001</v>
      </c>
      <c r="P278" s="112">
        <v>79.361000000000004</v>
      </c>
      <c r="Q278" s="112">
        <v>415.27699999999993</v>
      </c>
      <c r="R278" s="112">
        <v>856.95799999999997</v>
      </c>
      <c r="S278" s="112">
        <v>729.40699999999993</v>
      </c>
      <c r="T278" s="112">
        <v>370.18899999999996</v>
      </c>
      <c r="U278" s="112">
        <v>7.1690000000000005</v>
      </c>
      <c r="V278" s="112">
        <v>2458.3580000000002</v>
      </c>
    </row>
    <row r="279" spans="1:22" x14ac:dyDescent="0.2">
      <c r="A279" s="114"/>
      <c r="B279" s="112"/>
      <c r="C279" s="112"/>
      <c r="D279" s="112"/>
      <c r="E279" s="112"/>
      <c r="F279" s="112"/>
      <c r="G279" s="112"/>
      <c r="H279" s="122"/>
      <c r="I279" s="112"/>
      <c r="J279" s="112"/>
      <c r="K279" s="112"/>
      <c r="L279" s="112"/>
      <c r="M279" s="112"/>
      <c r="N279" s="112"/>
      <c r="O279" s="122"/>
      <c r="P279" s="112"/>
      <c r="Q279" s="112"/>
      <c r="R279" s="112"/>
      <c r="S279" s="112"/>
      <c r="T279" s="112"/>
      <c r="U279" s="112"/>
      <c r="V279" s="112"/>
    </row>
    <row r="280" spans="1:22" x14ac:dyDescent="0.2">
      <c r="A280" s="114">
        <v>2013</v>
      </c>
      <c r="B280" s="112"/>
      <c r="C280" s="112"/>
      <c r="D280" s="112"/>
      <c r="E280" s="112"/>
      <c r="F280" s="112"/>
      <c r="G280" s="112"/>
      <c r="H280" s="122"/>
      <c r="I280" s="112"/>
      <c r="J280" s="112"/>
      <c r="K280" s="112"/>
      <c r="L280" s="112"/>
      <c r="M280" s="112"/>
      <c r="N280" s="112"/>
      <c r="O280" s="122"/>
      <c r="P280" s="112"/>
      <c r="Q280" s="112"/>
      <c r="R280" s="112"/>
      <c r="S280" s="112"/>
      <c r="T280" s="112"/>
      <c r="U280" s="112"/>
      <c r="V280" s="112"/>
    </row>
    <row r="281" spans="1:22" x14ac:dyDescent="0.2">
      <c r="A281" s="47" t="s">
        <v>74</v>
      </c>
      <c r="B281" s="112">
        <v>14.861000000000001</v>
      </c>
      <c r="C281" s="112">
        <v>73.079000000000008</v>
      </c>
      <c r="D281" s="112">
        <v>200.423</v>
      </c>
      <c r="E281" s="112">
        <v>150.93899999999999</v>
      </c>
      <c r="F281" s="112">
        <v>69.298000000000002</v>
      </c>
      <c r="G281" s="112">
        <v>0</v>
      </c>
      <c r="H281" s="122">
        <v>508.59899999999999</v>
      </c>
      <c r="I281" s="112">
        <v>10.778</v>
      </c>
      <c r="J281" s="112">
        <v>67.144999999999996</v>
      </c>
      <c r="K281" s="112">
        <v>78.655000000000001</v>
      </c>
      <c r="L281" s="112">
        <v>92.010999999999996</v>
      </c>
      <c r="M281" s="112">
        <v>40.899000000000001</v>
      </c>
      <c r="N281" s="112">
        <v>1.9550000000000001</v>
      </c>
      <c r="O281" s="122">
        <v>291.44499999999999</v>
      </c>
      <c r="P281" s="112">
        <v>25.639000000000003</v>
      </c>
      <c r="Q281" s="112">
        <v>140.22399999999999</v>
      </c>
      <c r="R281" s="112">
        <v>279.07799999999997</v>
      </c>
      <c r="S281" s="112">
        <v>242.95</v>
      </c>
      <c r="T281" s="112">
        <v>110.197</v>
      </c>
      <c r="U281" s="112">
        <v>1.9550000000000001</v>
      </c>
      <c r="V281" s="112">
        <v>800.04399999999998</v>
      </c>
    </row>
    <row r="282" spans="1:22" x14ac:dyDescent="0.2">
      <c r="A282" s="47" t="s">
        <v>75</v>
      </c>
      <c r="B282" s="112">
        <v>12.709</v>
      </c>
      <c r="C282" s="112">
        <v>65.058999999999997</v>
      </c>
      <c r="D282" s="112">
        <v>185.11500000000001</v>
      </c>
      <c r="E282" s="112">
        <v>137.02500000000001</v>
      </c>
      <c r="F282" s="112">
        <v>64.728999999999999</v>
      </c>
      <c r="G282" s="112">
        <v>0</v>
      </c>
      <c r="H282" s="122">
        <v>464.64</v>
      </c>
      <c r="I282" s="112">
        <v>8.7119999999999997</v>
      </c>
      <c r="J282" s="112">
        <v>64.173000000000002</v>
      </c>
      <c r="K282" s="112">
        <v>74.358999999999995</v>
      </c>
      <c r="L282" s="112">
        <v>88.344000000000008</v>
      </c>
      <c r="M282" s="112">
        <v>42.268999999999998</v>
      </c>
      <c r="N282" s="112">
        <v>2.3029999999999999</v>
      </c>
      <c r="O282" s="122">
        <v>280.161</v>
      </c>
      <c r="P282" s="112">
        <v>21.420999999999999</v>
      </c>
      <c r="Q282" s="112">
        <v>129.232</v>
      </c>
      <c r="R282" s="112">
        <v>259.47399999999999</v>
      </c>
      <c r="S282" s="112">
        <v>225.36900000000003</v>
      </c>
      <c r="T282" s="112">
        <v>106.99799999999999</v>
      </c>
      <c r="U282" s="112">
        <v>2.3029999999999999</v>
      </c>
      <c r="V282" s="112">
        <v>744.80099999999993</v>
      </c>
    </row>
    <row r="283" spans="1:22" x14ac:dyDescent="0.2">
      <c r="A283" s="47" t="s">
        <v>76</v>
      </c>
      <c r="B283" s="112">
        <v>13.795</v>
      </c>
      <c r="C283" s="112">
        <v>68.075000000000003</v>
      </c>
      <c r="D283" s="112">
        <v>190.43800000000002</v>
      </c>
      <c r="E283" s="112">
        <v>145.92699999999999</v>
      </c>
      <c r="F283" s="112">
        <v>72.039000000000001</v>
      </c>
      <c r="G283" s="112">
        <v>0</v>
      </c>
      <c r="H283" s="122">
        <v>490.27300000000002</v>
      </c>
      <c r="I283" s="112">
        <v>11.282999999999999</v>
      </c>
      <c r="J283" s="112">
        <v>67.384</v>
      </c>
      <c r="K283" s="112">
        <v>96.454000000000008</v>
      </c>
      <c r="L283" s="112">
        <v>112.452</v>
      </c>
      <c r="M283" s="112">
        <v>48.131999999999998</v>
      </c>
      <c r="N283" s="112">
        <v>2.7989999999999999</v>
      </c>
      <c r="O283" s="122">
        <v>338.50200000000001</v>
      </c>
      <c r="P283" s="112">
        <v>25.077999999999999</v>
      </c>
      <c r="Q283" s="112">
        <v>135.459</v>
      </c>
      <c r="R283" s="112">
        <v>286.89200000000005</v>
      </c>
      <c r="S283" s="112">
        <v>258.37900000000002</v>
      </c>
      <c r="T283" s="112">
        <v>120.17099999999999</v>
      </c>
      <c r="U283" s="112">
        <v>2.7989999999999999</v>
      </c>
      <c r="V283" s="112">
        <v>828.77500000000009</v>
      </c>
    </row>
    <row r="284" spans="1:22" x14ac:dyDescent="0.2">
      <c r="A284" s="47" t="s">
        <v>77</v>
      </c>
      <c r="B284" s="112">
        <v>41.365000000000002</v>
      </c>
      <c r="C284" s="112">
        <v>206.21300000000002</v>
      </c>
      <c r="D284" s="112">
        <v>575.976</v>
      </c>
      <c r="E284" s="112">
        <v>433.89099999999996</v>
      </c>
      <c r="F284" s="112">
        <v>206.06599999999997</v>
      </c>
      <c r="G284" s="112">
        <v>0</v>
      </c>
      <c r="H284" s="122">
        <v>1463.5120000000002</v>
      </c>
      <c r="I284" s="112">
        <v>30.773000000000003</v>
      </c>
      <c r="J284" s="112">
        <v>198.702</v>
      </c>
      <c r="K284" s="112">
        <v>249.46800000000002</v>
      </c>
      <c r="L284" s="112">
        <v>292.80700000000002</v>
      </c>
      <c r="M284" s="112">
        <v>131.30000000000001</v>
      </c>
      <c r="N284" s="112">
        <v>7.0570000000000004</v>
      </c>
      <c r="O284" s="122">
        <v>910.10799999999995</v>
      </c>
      <c r="P284" s="112">
        <v>72.138000000000005</v>
      </c>
      <c r="Q284" s="112">
        <v>404.91500000000002</v>
      </c>
      <c r="R284" s="112">
        <v>825.44399999999996</v>
      </c>
      <c r="S284" s="112">
        <v>726.69800000000009</v>
      </c>
      <c r="T284" s="112">
        <v>337.36599999999999</v>
      </c>
      <c r="U284" s="112">
        <v>7.0570000000000004</v>
      </c>
      <c r="V284" s="112">
        <v>2373.62</v>
      </c>
    </row>
    <row r="285" spans="1:22" x14ac:dyDescent="0.2">
      <c r="A285" s="47" t="s">
        <v>78</v>
      </c>
      <c r="B285" s="112">
        <v>14.011000000000001</v>
      </c>
      <c r="C285" s="112">
        <v>70.864000000000004</v>
      </c>
      <c r="D285" s="112">
        <v>199.946</v>
      </c>
      <c r="E285" s="112">
        <v>147.19499999999999</v>
      </c>
      <c r="F285" s="112">
        <v>77.658000000000001</v>
      </c>
      <c r="G285" s="112">
        <v>0</v>
      </c>
      <c r="H285" s="122">
        <v>509.67599999999999</v>
      </c>
      <c r="I285" s="112">
        <v>10.035</v>
      </c>
      <c r="J285" s="112">
        <v>64.228999999999999</v>
      </c>
      <c r="K285" s="112">
        <v>90.739000000000004</v>
      </c>
      <c r="L285" s="112">
        <v>94.613</v>
      </c>
      <c r="M285" s="112">
        <v>47.672000000000004</v>
      </c>
      <c r="N285" s="112">
        <v>2.3730000000000002</v>
      </c>
      <c r="O285" s="122">
        <v>309.66000000000003</v>
      </c>
      <c r="P285" s="112">
        <v>24.045999999999999</v>
      </c>
      <c r="Q285" s="112">
        <v>135.09300000000002</v>
      </c>
      <c r="R285" s="112">
        <v>290.685</v>
      </c>
      <c r="S285" s="112">
        <v>241.80799999999999</v>
      </c>
      <c r="T285" s="112">
        <v>125.33000000000001</v>
      </c>
      <c r="U285" s="112">
        <v>2.3730000000000002</v>
      </c>
      <c r="V285" s="112">
        <v>819.33600000000001</v>
      </c>
    </row>
    <row r="286" spans="1:22" x14ac:dyDescent="0.2">
      <c r="A286" s="47" t="s">
        <v>79</v>
      </c>
      <c r="B286" s="112">
        <v>14.839</v>
      </c>
      <c r="C286" s="112">
        <v>74.784000000000006</v>
      </c>
      <c r="D286" s="112">
        <v>189.54500000000002</v>
      </c>
      <c r="E286" s="112">
        <v>145.36699999999999</v>
      </c>
      <c r="F286" s="112">
        <v>79.897999999999996</v>
      </c>
      <c r="G286" s="112">
        <v>0</v>
      </c>
      <c r="H286" s="122">
        <v>504.43400000000003</v>
      </c>
      <c r="I286" s="112">
        <v>11.631</v>
      </c>
      <c r="J286" s="112">
        <v>76.12</v>
      </c>
      <c r="K286" s="112">
        <v>100.249</v>
      </c>
      <c r="L286" s="112">
        <v>105.605</v>
      </c>
      <c r="M286" s="112">
        <v>52.441000000000003</v>
      </c>
      <c r="N286" s="112">
        <v>2.8000000000000003</v>
      </c>
      <c r="O286" s="122">
        <v>348.846</v>
      </c>
      <c r="P286" s="112">
        <v>26.47</v>
      </c>
      <c r="Q286" s="112">
        <v>150.904</v>
      </c>
      <c r="R286" s="112">
        <v>289.79399999999998</v>
      </c>
      <c r="S286" s="112">
        <v>250.97199999999998</v>
      </c>
      <c r="T286" s="112">
        <v>132.339</v>
      </c>
      <c r="U286" s="112">
        <v>2.8000000000000003</v>
      </c>
      <c r="V286" s="112">
        <v>853.28</v>
      </c>
    </row>
    <row r="287" spans="1:22" x14ac:dyDescent="0.2">
      <c r="A287" s="47" t="s">
        <v>89</v>
      </c>
      <c r="B287" s="112">
        <v>14.246</v>
      </c>
      <c r="C287" s="112">
        <v>69.689000000000007</v>
      </c>
      <c r="D287" s="112">
        <v>191.602</v>
      </c>
      <c r="E287" s="112">
        <v>143.46299999999999</v>
      </c>
      <c r="F287" s="112">
        <v>74.486999999999995</v>
      </c>
      <c r="G287" s="112">
        <v>0</v>
      </c>
      <c r="H287" s="122">
        <v>493.48900000000003</v>
      </c>
      <c r="I287" s="112">
        <v>11.082000000000001</v>
      </c>
      <c r="J287" s="112">
        <v>67.731999999999999</v>
      </c>
      <c r="K287" s="112">
        <v>94.218000000000004</v>
      </c>
      <c r="L287" s="112">
        <v>109.727</v>
      </c>
      <c r="M287" s="112">
        <v>50.731000000000002</v>
      </c>
      <c r="N287" s="112">
        <v>2.7250000000000001</v>
      </c>
      <c r="O287" s="122">
        <v>336.21300000000002</v>
      </c>
      <c r="P287" s="112">
        <v>25.328000000000003</v>
      </c>
      <c r="Q287" s="112">
        <v>137.42099999999999</v>
      </c>
      <c r="R287" s="112">
        <v>285.82</v>
      </c>
      <c r="S287" s="112">
        <v>253.19</v>
      </c>
      <c r="T287" s="112">
        <v>125.21799999999999</v>
      </c>
      <c r="U287" s="112">
        <v>2.7250000000000001</v>
      </c>
      <c r="V287" s="112">
        <v>829.702</v>
      </c>
    </row>
    <row r="288" spans="1:22" x14ac:dyDescent="0.2">
      <c r="A288" s="47" t="s">
        <v>80</v>
      </c>
      <c r="B288" s="112">
        <v>43.096000000000004</v>
      </c>
      <c r="C288" s="112">
        <v>215.33700000000005</v>
      </c>
      <c r="D288" s="112">
        <v>581.09299999999996</v>
      </c>
      <c r="E288" s="112">
        <v>436.02499999999998</v>
      </c>
      <c r="F288" s="112">
        <v>232.04299999999998</v>
      </c>
      <c r="G288" s="112">
        <v>0</v>
      </c>
      <c r="H288" s="122">
        <v>1507.5990000000002</v>
      </c>
      <c r="I288" s="112">
        <v>32.748000000000005</v>
      </c>
      <c r="J288" s="112">
        <v>208.08099999999999</v>
      </c>
      <c r="K288" s="112">
        <v>285.20600000000002</v>
      </c>
      <c r="L288" s="112">
        <v>309.94500000000005</v>
      </c>
      <c r="M288" s="112">
        <v>150.84399999999999</v>
      </c>
      <c r="N288" s="112">
        <v>7.8979999999999997</v>
      </c>
      <c r="O288" s="122">
        <v>994.71900000000005</v>
      </c>
      <c r="P288" s="112">
        <v>75.843999999999994</v>
      </c>
      <c r="Q288" s="112">
        <v>423.41800000000001</v>
      </c>
      <c r="R288" s="112">
        <v>866.29899999999998</v>
      </c>
      <c r="S288" s="112">
        <v>745.97</v>
      </c>
      <c r="T288" s="112">
        <v>382.88699999999994</v>
      </c>
      <c r="U288" s="112">
        <v>7.8979999999999997</v>
      </c>
      <c r="V288" s="112">
        <v>2502.3180000000002</v>
      </c>
    </row>
    <row r="289" spans="1:22" x14ac:dyDescent="0.2">
      <c r="A289" s="47" t="s">
        <v>90</v>
      </c>
      <c r="B289" s="112">
        <v>15.135</v>
      </c>
      <c r="C289" s="112">
        <v>73.441000000000003</v>
      </c>
      <c r="D289" s="112">
        <v>208.839</v>
      </c>
      <c r="E289" s="112">
        <v>145.244</v>
      </c>
      <c r="F289" s="112">
        <v>77.332000000000008</v>
      </c>
      <c r="G289" s="112">
        <v>0</v>
      </c>
      <c r="H289" s="122">
        <v>519.99099999999999</v>
      </c>
      <c r="I289" s="112">
        <v>10.647</v>
      </c>
      <c r="J289" s="112">
        <v>65.323999999999998</v>
      </c>
      <c r="K289" s="112">
        <v>103.91800000000001</v>
      </c>
      <c r="L289" s="112">
        <v>104.459</v>
      </c>
      <c r="M289" s="112">
        <v>56.859000000000002</v>
      </c>
      <c r="N289" s="112">
        <v>2.3559999999999999</v>
      </c>
      <c r="O289" s="122">
        <v>343.56100000000004</v>
      </c>
      <c r="P289" s="112">
        <v>25.782</v>
      </c>
      <c r="Q289" s="112">
        <v>138.76499999999999</v>
      </c>
      <c r="R289" s="112">
        <v>312.75700000000001</v>
      </c>
      <c r="S289" s="112">
        <v>249.703</v>
      </c>
      <c r="T289" s="112">
        <v>134.191</v>
      </c>
      <c r="U289" s="112">
        <v>2.3559999999999999</v>
      </c>
      <c r="V289" s="112">
        <v>863.55200000000002</v>
      </c>
    </row>
    <row r="290" spans="1:22" x14ac:dyDescent="0.2">
      <c r="A290" s="47" t="s">
        <v>81</v>
      </c>
      <c r="B290" s="112">
        <v>14.539</v>
      </c>
      <c r="C290" s="112">
        <v>74.284000000000006</v>
      </c>
      <c r="D290" s="112">
        <v>212.50200000000001</v>
      </c>
      <c r="E290" s="112">
        <v>141.42699999999999</v>
      </c>
      <c r="F290" s="112">
        <v>78.924999999999997</v>
      </c>
      <c r="G290" s="112">
        <v>0</v>
      </c>
      <c r="H290" s="122">
        <v>521.67600000000004</v>
      </c>
      <c r="I290" s="112">
        <v>16.388000000000002</v>
      </c>
      <c r="J290" s="112">
        <v>70.442999999999998</v>
      </c>
      <c r="K290" s="112">
        <v>108.846</v>
      </c>
      <c r="L290" s="112">
        <v>118.43300000000001</v>
      </c>
      <c r="M290" s="112">
        <v>57.572000000000003</v>
      </c>
      <c r="N290" s="112">
        <v>2.46</v>
      </c>
      <c r="O290" s="122">
        <v>374.13900000000001</v>
      </c>
      <c r="P290" s="112">
        <v>30.927</v>
      </c>
      <c r="Q290" s="112">
        <v>144.727</v>
      </c>
      <c r="R290" s="112">
        <v>321.34800000000001</v>
      </c>
      <c r="S290" s="112">
        <v>259.86</v>
      </c>
      <c r="T290" s="112">
        <v>136.49700000000001</v>
      </c>
      <c r="U290" s="112">
        <v>2.46</v>
      </c>
      <c r="V290" s="112">
        <v>895.81500000000005</v>
      </c>
    </row>
    <row r="291" spans="1:22" x14ac:dyDescent="0.2">
      <c r="A291" s="47" t="s">
        <v>82</v>
      </c>
      <c r="B291" s="112">
        <v>14.336</v>
      </c>
      <c r="C291" s="112">
        <v>69.927000000000007</v>
      </c>
      <c r="D291" s="112">
        <v>202.02100000000002</v>
      </c>
      <c r="E291" s="112">
        <v>139.63800000000001</v>
      </c>
      <c r="F291" s="112">
        <v>62.349000000000004</v>
      </c>
      <c r="G291" s="112">
        <v>0</v>
      </c>
      <c r="H291" s="122">
        <v>488.27300000000002</v>
      </c>
      <c r="I291" s="112">
        <v>11.577</v>
      </c>
      <c r="J291" s="112">
        <v>73.850000000000009</v>
      </c>
      <c r="K291" s="112">
        <v>108.756</v>
      </c>
      <c r="L291" s="112">
        <v>139.113</v>
      </c>
      <c r="M291" s="112">
        <v>47.085999999999999</v>
      </c>
      <c r="N291" s="112">
        <v>2.7720000000000002</v>
      </c>
      <c r="O291" s="122">
        <v>383.15100000000001</v>
      </c>
      <c r="P291" s="112">
        <v>25.913</v>
      </c>
      <c r="Q291" s="112">
        <v>143.77700000000002</v>
      </c>
      <c r="R291" s="112">
        <v>310.77700000000004</v>
      </c>
      <c r="S291" s="112">
        <v>278.75099999999998</v>
      </c>
      <c r="T291" s="112">
        <v>109.435</v>
      </c>
      <c r="U291" s="112">
        <v>2.7720000000000002</v>
      </c>
      <c r="V291" s="112">
        <v>871.42399999999998</v>
      </c>
    </row>
    <row r="292" spans="1:22" x14ac:dyDescent="0.2">
      <c r="A292" s="47" t="s">
        <v>83</v>
      </c>
      <c r="B292" s="112">
        <v>44.01</v>
      </c>
      <c r="C292" s="112">
        <v>217.65200000000004</v>
      </c>
      <c r="D292" s="112">
        <v>623.36200000000008</v>
      </c>
      <c r="E292" s="112">
        <v>426.30899999999997</v>
      </c>
      <c r="F292" s="112">
        <v>218.60599999999999</v>
      </c>
      <c r="G292" s="112">
        <v>0</v>
      </c>
      <c r="H292" s="122">
        <v>1529.94</v>
      </c>
      <c r="I292" s="112">
        <v>38.612000000000002</v>
      </c>
      <c r="J292" s="112">
        <v>209.61700000000002</v>
      </c>
      <c r="K292" s="112">
        <v>321.52</v>
      </c>
      <c r="L292" s="112">
        <v>362.005</v>
      </c>
      <c r="M292" s="112">
        <v>161.517</v>
      </c>
      <c r="N292" s="112">
        <v>7.5880000000000001</v>
      </c>
      <c r="O292" s="122">
        <v>1100.8510000000001</v>
      </c>
      <c r="P292" s="112">
        <v>82.622</v>
      </c>
      <c r="Q292" s="112">
        <v>427.26900000000001</v>
      </c>
      <c r="R292" s="112">
        <v>944.88200000000006</v>
      </c>
      <c r="S292" s="112">
        <v>788.31399999999996</v>
      </c>
      <c r="T292" s="112">
        <v>380.12299999999999</v>
      </c>
      <c r="U292" s="112">
        <v>7.5880000000000001</v>
      </c>
      <c r="V292" s="112">
        <v>2630.7910000000002</v>
      </c>
    </row>
    <row r="293" spans="1:22" x14ac:dyDescent="0.2">
      <c r="A293" s="47" t="s">
        <v>85</v>
      </c>
      <c r="B293" s="112">
        <v>16.961000000000002</v>
      </c>
      <c r="C293" s="112">
        <v>73.183999999999997</v>
      </c>
      <c r="D293" s="112">
        <v>201.541</v>
      </c>
      <c r="E293" s="112">
        <v>148.852</v>
      </c>
      <c r="F293" s="112">
        <v>84.573000000000008</v>
      </c>
      <c r="G293" s="112">
        <v>0</v>
      </c>
      <c r="H293" s="122">
        <v>525.10900000000004</v>
      </c>
      <c r="I293" s="112">
        <v>14.119</v>
      </c>
      <c r="J293" s="112">
        <v>78.975999999999999</v>
      </c>
      <c r="K293" s="112">
        <v>118.053</v>
      </c>
      <c r="L293" s="112">
        <v>123.491</v>
      </c>
      <c r="M293" s="112">
        <v>59.806000000000004</v>
      </c>
      <c r="N293" s="112">
        <v>2.7330000000000001</v>
      </c>
      <c r="O293" s="122">
        <v>397.17500000000001</v>
      </c>
      <c r="P293" s="112">
        <v>31.080000000000002</v>
      </c>
      <c r="Q293" s="112">
        <v>152.16</v>
      </c>
      <c r="R293" s="112">
        <v>319.59399999999999</v>
      </c>
      <c r="S293" s="112">
        <v>272.34300000000002</v>
      </c>
      <c r="T293" s="112">
        <v>144.37900000000002</v>
      </c>
      <c r="U293" s="112">
        <v>2.7330000000000001</v>
      </c>
      <c r="V293" s="112">
        <v>922.28400000000011</v>
      </c>
    </row>
    <row r="294" spans="1:22" x14ac:dyDescent="0.2">
      <c r="A294" s="47" t="s">
        <v>86</v>
      </c>
      <c r="B294" s="112">
        <v>16.763000000000002</v>
      </c>
      <c r="C294" s="112">
        <v>79.924999999999997</v>
      </c>
      <c r="D294" s="112">
        <v>190.215</v>
      </c>
      <c r="E294" s="112">
        <v>144.92400000000001</v>
      </c>
      <c r="F294" s="112">
        <v>71.269000000000005</v>
      </c>
      <c r="G294" s="112">
        <v>0</v>
      </c>
      <c r="H294" s="122">
        <v>503.09899999999999</v>
      </c>
      <c r="I294" s="112">
        <v>13.43</v>
      </c>
      <c r="J294" s="112">
        <v>59.896000000000001</v>
      </c>
      <c r="K294" s="112">
        <v>113.154</v>
      </c>
      <c r="L294" s="112">
        <v>104.503</v>
      </c>
      <c r="M294" s="112">
        <v>52.92</v>
      </c>
      <c r="N294" s="112">
        <v>2.9470000000000001</v>
      </c>
      <c r="O294" s="122">
        <v>346.85</v>
      </c>
      <c r="P294" s="112">
        <v>30.193000000000001</v>
      </c>
      <c r="Q294" s="112">
        <v>139.821</v>
      </c>
      <c r="R294" s="112">
        <v>303.36900000000003</v>
      </c>
      <c r="S294" s="112">
        <v>249.42700000000002</v>
      </c>
      <c r="T294" s="112">
        <v>124.18900000000001</v>
      </c>
      <c r="U294" s="112">
        <v>2.9470000000000001</v>
      </c>
      <c r="V294" s="112">
        <v>849.94900000000007</v>
      </c>
    </row>
    <row r="295" spans="1:22" x14ac:dyDescent="0.2">
      <c r="A295" s="47" t="s">
        <v>87</v>
      </c>
      <c r="B295" s="112">
        <v>15.315</v>
      </c>
      <c r="C295" s="112">
        <v>67.040999999999997</v>
      </c>
      <c r="D295" s="112">
        <v>152.542</v>
      </c>
      <c r="E295" s="112">
        <v>124.73400000000001</v>
      </c>
      <c r="F295" s="112">
        <v>57.618000000000002</v>
      </c>
      <c r="G295" s="112">
        <v>0</v>
      </c>
      <c r="H295" s="122">
        <v>417.25</v>
      </c>
      <c r="I295" s="112">
        <v>14.127000000000001</v>
      </c>
      <c r="J295" s="112">
        <v>55.134</v>
      </c>
      <c r="K295" s="112">
        <v>95.454000000000008</v>
      </c>
      <c r="L295" s="112">
        <v>90.826999999999998</v>
      </c>
      <c r="M295" s="112">
        <v>32.856000000000002</v>
      </c>
      <c r="N295" s="112">
        <v>2.5960000000000001</v>
      </c>
      <c r="O295" s="122">
        <v>290.95999999999998</v>
      </c>
      <c r="P295" s="112">
        <v>29.442</v>
      </c>
      <c r="Q295" s="112">
        <v>122.175</v>
      </c>
      <c r="R295" s="112">
        <v>247.99600000000001</v>
      </c>
      <c r="S295" s="112">
        <v>215.56100000000001</v>
      </c>
      <c r="T295" s="112">
        <v>90.474000000000004</v>
      </c>
      <c r="U295" s="112">
        <v>2.5960000000000001</v>
      </c>
      <c r="V295" s="112">
        <v>708.21</v>
      </c>
    </row>
    <row r="296" spans="1:22" x14ac:dyDescent="0.2">
      <c r="A296" s="47" t="s">
        <v>84</v>
      </c>
      <c r="B296" s="112">
        <v>49.039000000000001</v>
      </c>
      <c r="C296" s="112">
        <v>220.14999999999998</v>
      </c>
      <c r="D296" s="112">
        <v>544.298</v>
      </c>
      <c r="E296" s="112">
        <v>418.51</v>
      </c>
      <c r="F296" s="112">
        <v>213.46</v>
      </c>
      <c r="G296" s="112">
        <v>0</v>
      </c>
      <c r="H296" s="122">
        <v>1445.4580000000001</v>
      </c>
      <c r="I296" s="112">
        <v>41.676000000000002</v>
      </c>
      <c r="J296" s="112">
        <v>194.00600000000003</v>
      </c>
      <c r="K296" s="112">
        <v>326.661</v>
      </c>
      <c r="L296" s="112">
        <v>318.82100000000003</v>
      </c>
      <c r="M296" s="112">
        <v>145.58199999999999</v>
      </c>
      <c r="N296" s="112">
        <v>8.2759999999999998</v>
      </c>
      <c r="O296" s="122">
        <v>1034.9850000000001</v>
      </c>
      <c r="P296" s="112">
        <v>90.715000000000003</v>
      </c>
      <c r="Q296" s="112">
        <v>414.15600000000001</v>
      </c>
      <c r="R296" s="112">
        <v>870.95899999999995</v>
      </c>
      <c r="S296" s="112">
        <v>737.33100000000002</v>
      </c>
      <c r="T296" s="112">
        <v>359.04200000000003</v>
      </c>
      <c r="U296" s="112">
        <v>8.2759999999999998</v>
      </c>
      <c r="V296" s="112">
        <v>2480.4430000000002</v>
      </c>
    </row>
    <row r="297" spans="1:22" x14ac:dyDescent="0.2">
      <c r="A297" s="114"/>
      <c r="B297" s="112"/>
      <c r="C297" s="112"/>
      <c r="D297" s="112"/>
      <c r="E297" s="112"/>
      <c r="F297" s="112"/>
      <c r="G297" s="112"/>
      <c r="H297" s="122"/>
      <c r="I297" s="112"/>
      <c r="J297" s="112"/>
      <c r="K297" s="112"/>
      <c r="L297" s="112"/>
      <c r="M297" s="112"/>
      <c r="N297" s="112"/>
      <c r="O297" s="122"/>
      <c r="P297" s="112"/>
      <c r="Q297" s="112"/>
      <c r="R297" s="112"/>
      <c r="S297" s="112"/>
      <c r="T297" s="112"/>
      <c r="U297" s="112"/>
      <c r="V297" s="112"/>
    </row>
    <row r="298" spans="1:22" x14ac:dyDescent="0.2">
      <c r="A298" s="114">
        <v>2014</v>
      </c>
      <c r="B298" s="112"/>
      <c r="C298" s="112"/>
      <c r="D298" s="112"/>
      <c r="E298" s="112"/>
      <c r="F298" s="112"/>
      <c r="G298" s="112"/>
      <c r="H298" s="122"/>
      <c r="I298" s="112"/>
      <c r="J298" s="112"/>
      <c r="K298" s="112"/>
      <c r="L298" s="112"/>
      <c r="M298" s="112"/>
      <c r="N298" s="112"/>
      <c r="O298" s="122"/>
      <c r="P298" s="112"/>
      <c r="Q298" s="112"/>
      <c r="R298" s="112"/>
      <c r="S298" s="112"/>
      <c r="T298" s="112"/>
      <c r="U298" s="112"/>
      <c r="V298" s="112"/>
    </row>
    <row r="299" spans="1:22" x14ac:dyDescent="0.2">
      <c r="A299" s="47" t="s">
        <v>74</v>
      </c>
      <c r="B299" s="112">
        <v>14.993</v>
      </c>
      <c r="C299" s="112">
        <v>72.123000000000005</v>
      </c>
      <c r="D299" s="112">
        <v>194.012</v>
      </c>
      <c r="E299" s="112">
        <v>145.226</v>
      </c>
      <c r="F299" s="112">
        <v>69.856999999999999</v>
      </c>
      <c r="G299" s="112">
        <v>0</v>
      </c>
      <c r="H299" s="122">
        <v>496.209</v>
      </c>
      <c r="I299" s="112">
        <v>12.635</v>
      </c>
      <c r="J299" s="112">
        <v>51.239000000000004</v>
      </c>
      <c r="K299" s="112">
        <v>83.802000000000007</v>
      </c>
      <c r="L299" s="112">
        <v>83.311999999999998</v>
      </c>
      <c r="M299" s="112">
        <v>36.878999999999998</v>
      </c>
      <c r="N299" s="112">
        <v>2.2650000000000001</v>
      </c>
      <c r="O299" s="122">
        <v>270.13</v>
      </c>
      <c r="P299" s="112">
        <v>27.628</v>
      </c>
      <c r="Q299" s="112">
        <v>123.36200000000001</v>
      </c>
      <c r="R299" s="112">
        <v>277.81400000000002</v>
      </c>
      <c r="S299" s="112">
        <v>228.53800000000001</v>
      </c>
      <c r="T299" s="112">
        <v>106.73599999999999</v>
      </c>
      <c r="U299" s="112">
        <v>2.2650000000000001</v>
      </c>
      <c r="V299" s="112">
        <v>766.33899999999994</v>
      </c>
    </row>
    <row r="300" spans="1:22" x14ac:dyDescent="0.2">
      <c r="A300" s="47" t="s">
        <v>75</v>
      </c>
      <c r="B300" s="112">
        <v>15.867000000000001</v>
      </c>
      <c r="C300" s="112">
        <v>77.611000000000004</v>
      </c>
      <c r="D300" s="112">
        <v>189.92500000000001</v>
      </c>
      <c r="E300" s="112">
        <v>145.37299999999999</v>
      </c>
      <c r="F300" s="112">
        <v>62.178000000000004</v>
      </c>
      <c r="G300" s="112">
        <v>0</v>
      </c>
      <c r="H300" s="122">
        <v>490.95499999999998</v>
      </c>
      <c r="I300" s="112">
        <v>13.683</v>
      </c>
      <c r="J300" s="112">
        <v>58.335999999999999</v>
      </c>
      <c r="K300" s="112">
        <v>97.899000000000001</v>
      </c>
      <c r="L300" s="112">
        <v>94.73</v>
      </c>
      <c r="M300" s="112">
        <v>38.006999999999998</v>
      </c>
      <c r="N300" s="112">
        <v>2.5670000000000002</v>
      </c>
      <c r="O300" s="122">
        <v>305.22300000000001</v>
      </c>
      <c r="P300" s="112">
        <v>29.55</v>
      </c>
      <c r="Q300" s="112">
        <v>135.947</v>
      </c>
      <c r="R300" s="112">
        <v>287.82400000000001</v>
      </c>
      <c r="S300" s="112">
        <v>240.10300000000001</v>
      </c>
      <c r="T300" s="112">
        <v>100.185</v>
      </c>
      <c r="U300" s="112">
        <v>2.5670000000000002</v>
      </c>
      <c r="V300" s="112">
        <v>796.178</v>
      </c>
    </row>
    <row r="301" spans="1:22" x14ac:dyDescent="0.2">
      <c r="A301" s="47" t="s">
        <v>76</v>
      </c>
      <c r="B301" s="112">
        <v>29.222000000000001</v>
      </c>
      <c r="C301" s="112">
        <v>81.182000000000002</v>
      </c>
      <c r="D301" s="112">
        <v>194.02600000000001</v>
      </c>
      <c r="E301" s="112">
        <v>163.73500000000001</v>
      </c>
      <c r="F301" s="112">
        <v>72.933000000000007</v>
      </c>
      <c r="G301" s="112">
        <v>0</v>
      </c>
      <c r="H301" s="122">
        <v>541.09900000000005</v>
      </c>
      <c r="I301" s="112">
        <v>14.822000000000001</v>
      </c>
      <c r="J301" s="112">
        <v>62.486000000000004</v>
      </c>
      <c r="K301" s="112">
        <v>102.86200000000001</v>
      </c>
      <c r="L301" s="112">
        <v>112.298</v>
      </c>
      <c r="M301" s="112">
        <v>42.971000000000004</v>
      </c>
      <c r="N301" s="112">
        <v>3.101</v>
      </c>
      <c r="O301" s="122">
        <v>338.54200000000003</v>
      </c>
      <c r="P301" s="112">
        <v>44.044000000000004</v>
      </c>
      <c r="Q301" s="112">
        <v>143.66800000000001</v>
      </c>
      <c r="R301" s="112">
        <v>296.88800000000003</v>
      </c>
      <c r="S301" s="112">
        <v>276.03300000000002</v>
      </c>
      <c r="T301" s="112">
        <v>115.90400000000001</v>
      </c>
      <c r="U301" s="112">
        <v>3.101</v>
      </c>
      <c r="V301" s="112">
        <v>879.64100000000008</v>
      </c>
    </row>
    <row r="302" spans="1:22" x14ac:dyDescent="0.2">
      <c r="A302" s="47" t="s">
        <v>77</v>
      </c>
      <c r="B302" s="112">
        <v>60.082000000000001</v>
      </c>
      <c r="C302" s="112">
        <v>230.916</v>
      </c>
      <c r="D302" s="112">
        <v>577.96299999999997</v>
      </c>
      <c r="E302" s="112">
        <v>454.334</v>
      </c>
      <c r="F302" s="112">
        <v>204.96800000000002</v>
      </c>
      <c r="G302" s="112">
        <v>0</v>
      </c>
      <c r="H302" s="122">
        <v>1528.2629999999999</v>
      </c>
      <c r="I302" s="112">
        <v>41.14</v>
      </c>
      <c r="J302" s="112">
        <v>172.06100000000001</v>
      </c>
      <c r="K302" s="112">
        <v>284.56300000000005</v>
      </c>
      <c r="L302" s="112">
        <v>290.34000000000003</v>
      </c>
      <c r="M302" s="112">
        <v>117.857</v>
      </c>
      <c r="N302" s="112">
        <v>7.9330000000000007</v>
      </c>
      <c r="O302" s="122">
        <v>913.8950000000001</v>
      </c>
      <c r="P302" s="112">
        <v>101.22200000000001</v>
      </c>
      <c r="Q302" s="112">
        <v>402.97700000000003</v>
      </c>
      <c r="R302" s="112">
        <v>862.52600000000007</v>
      </c>
      <c r="S302" s="112">
        <v>744.67399999999998</v>
      </c>
      <c r="T302" s="112">
        <v>322.82499999999999</v>
      </c>
      <c r="U302" s="112">
        <v>7.9330000000000007</v>
      </c>
      <c r="V302" s="112">
        <v>2442.1579999999999</v>
      </c>
    </row>
    <row r="303" spans="1:22" x14ac:dyDescent="0.2">
      <c r="A303" s="47" t="s">
        <v>78</v>
      </c>
      <c r="B303" s="112">
        <v>17.213999999999999</v>
      </c>
      <c r="C303" s="112">
        <v>79.159000000000006</v>
      </c>
      <c r="D303" s="112">
        <v>201.285</v>
      </c>
      <c r="E303" s="112">
        <v>164.803</v>
      </c>
      <c r="F303" s="112">
        <v>76.616</v>
      </c>
      <c r="G303" s="112">
        <v>0</v>
      </c>
      <c r="H303" s="122">
        <v>539.07500000000005</v>
      </c>
      <c r="I303" s="112">
        <v>14.624000000000001</v>
      </c>
      <c r="J303" s="112">
        <v>51.792000000000002</v>
      </c>
      <c r="K303" s="112">
        <v>91.265000000000001</v>
      </c>
      <c r="L303" s="112">
        <v>99.671999999999997</v>
      </c>
      <c r="M303" s="112">
        <v>51.154000000000003</v>
      </c>
      <c r="N303" s="112">
        <v>2.4390000000000001</v>
      </c>
      <c r="O303" s="122">
        <v>310.94200000000001</v>
      </c>
      <c r="P303" s="112">
        <v>31.838000000000001</v>
      </c>
      <c r="Q303" s="112">
        <v>130.95100000000002</v>
      </c>
      <c r="R303" s="112">
        <v>292.55</v>
      </c>
      <c r="S303" s="112">
        <v>264.47500000000002</v>
      </c>
      <c r="T303" s="112">
        <v>127.77000000000001</v>
      </c>
      <c r="U303" s="112">
        <v>2.4390000000000001</v>
      </c>
      <c r="V303" s="112">
        <v>850.01700000000005</v>
      </c>
    </row>
    <row r="304" spans="1:22" x14ac:dyDescent="0.2">
      <c r="A304" s="47" t="s">
        <v>79</v>
      </c>
      <c r="B304" s="112">
        <v>17.895</v>
      </c>
      <c r="C304" s="112">
        <v>79.673000000000002</v>
      </c>
      <c r="D304" s="112">
        <v>219.779</v>
      </c>
      <c r="E304" s="112">
        <v>164.602</v>
      </c>
      <c r="F304" s="112">
        <v>78.915999999999997</v>
      </c>
      <c r="G304" s="112">
        <v>0</v>
      </c>
      <c r="H304" s="122">
        <v>560.86300000000006</v>
      </c>
      <c r="I304" s="112">
        <v>13.979000000000001</v>
      </c>
      <c r="J304" s="112">
        <v>53.573</v>
      </c>
      <c r="K304" s="112">
        <v>97.692000000000007</v>
      </c>
      <c r="L304" s="112">
        <v>85.856000000000009</v>
      </c>
      <c r="M304" s="112">
        <v>50.172000000000004</v>
      </c>
      <c r="N304" s="112">
        <v>4.9379999999999997</v>
      </c>
      <c r="O304" s="122">
        <v>306.20800000000003</v>
      </c>
      <c r="P304" s="112">
        <v>31.874000000000002</v>
      </c>
      <c r="Q304" s="112">
        <v>133.24600000000001</v>
      </c>
      <c r="R304" s="112">
        <v>317.471</v>
      </c>
      <c r="S304" s="112">
        <v>250.45800000000003</v>
      </c>
      <c r="T304" s="112">
        <v>129.08799999999999</v>
      </c>
      <c r="U304" s="112">
        <v>4.9379999999999997</v>
      </c>
      <c r="V304" s="112">
        <v>867.07100000000014</v>
      </c>
    </row>
    <row r="305" spans="1:22" x14ac:dyDescent="0.2">
      <c r="A305" s="47" t="s">
        <v>89</v>
      </c>
      <c r="B305" s="112">
        <v>17.737000000000002</v>
      </c>
      <c r="C305" s="112">
        <v>79.097999999999999</v>
      </c>
      <c r="D305" s="112">
        <v>194.41800000000001</v>
      </c>
      <c r="E305" s="112">
        <v>143.077</v>
      </c>
      <c r="F305" s="112">
        <v>99.686999999999998</v>
      </c>
      <c r="G305" s="112">
        <v>1.01</v>
      </c>
      <c r="H305" s="122">
        <v>535.02800000000002</v>
      </c>
      <c r="I305" s="112">
        <v>12.198</v>
      </c>
      <c r="J305" s="112">
        <v>56.573</v>
      </c>
      <c r="K305" s="112">
        <v>112.541</v>
      </c>
      <c r="L305" s="112">
        <v>98.801000000000002</v>
      </c>
      <c r="M305" s="112">
        <v>52.002000000000002</v>
      </c>
      <c r="N305" s="112">
        <v>3.254</v>
      </c>
      <c r="O305" s="122">
        <v>335.36799999999999</v>
      </c>
      <c r="P305" s="112">
        <v>29.935000000000002</v>
      </c>
      <c r="Q305" s="112">
        <v>135.67099999999999</v>
      </c>
      <c r="R305" s="112">
        <v>306.959</v>
      </c>
      <c r="S305" s="112">
        <v>241.87799999999999</v>
      </c>
      <c r="T305" s="112">
        <v>151.68899999999999</v>
      </c>
      <c r="U305" s="112">
        <v>4.2640000000000002</v>
      </c>
      <c r="V305" s="112">
        <v>870.39599999999996</v>
      </c>
    </row>
    <row r="306" spans="1:22" x14ac:dyDescent="0.2">
      <c r="A306" s="47" t="s">
        <v>80</v>
      </c>
      <c r="B306" s="112">
        <v>52.845999999999997</v>
      </c>
      <c r="C306" s="112">
        <v>237.93</v>
      </c>
      <c r="D306" s="112">
        <v>615.48199999999997</v>
      </c>
      <c r="E306" s="112">
        <v>472.48199999999997</v>
      </c>
      <c r="F306" s="112">
        <v>255.21899999999999</v>
      </c>
      <c r="G306" s="112">
        <v>1.01</v>
      </c>
      <c r="H306" s="122">
        <v>1634.9660000000001</v>
      </c>
      <c r="I306" s="112">
        <v>40.801000000000002</v>
      </c>
      <c r="J306" s="112">
        <v>161.93800000000002</v>
      </c>
      <c r="K306" s="112">
        <v>301.49799999999999</v>
      </c>
      <c r="L306" s="112">
        <v>284.32900000000001</v>
      </c>
      <c r="M306" s="112">
        <v>153.328</v>
      </c>
      <c r="N306" s="112">
        <v>10.631</v>
      </c>
      <c r="O306" s="122">
        <v>952.51800000000003</v>
      </c>
      <c r="P306" s="112">
        <v>93.647000000000006</v>
      </c>
      <c r="Q306" s="112">
        <v>399.86799999999999</v>
      </c>
      <c r="R306" s="112">
        <v>916.98</v>
      </c>
      <c r="S306" s="112">
        <v>756.81099999999992</v>
      </c>
      <c r="T306" s="112">
        <v>408.54700000000003</v>
      </c>
      <c r="U306" s="112">
        <v>11.641</v>
      </c>
      <c r="V306" s="112">
        <v>2587.4840000000004</v>
      </c>
    </row>
    <row r="307" spans="1:22" x14ac:dyDescent="0.2">
      <c r="A307" s="47" t="s">
        <v>90</v>
      </c>
      <c r="B307" s="112">
        <v>17.583000000000002</v>
      </c>
      <c r="C307" s="112">
        <v>82.704000000000008</v>
      </c>
      <c r="D307" s="112">
        <v>213.34200000000001</v>
      </c>
      <c r="E307" s="112">
        <v>152.60400000000001</v>
      </c>
      <c r="F307" s="112">
        <v>78.897000000000006</v>
      </c>
      <c r="G307" s="112">
        <v>0</v>
      </c>
      <c r="H307" s="122">
        <v>545.12800000000004</v>
      </c>
      <c r="I307" s="112">
        <v>13.572000000000001</v>
      </c>
      <c r="J307" s="112">
        <v>57.055</v>
      </c>
      <c r="K307" s="112">
        <v>103.65600000000001</v>
      </c>
      <c r="L307" s="112">
        <v>106.643</v>
      </c>
      <c r="M307" s="112">
        <v>49.353999999999999</v>
      </c>
      <c r="N307" s="112">
        <v>2.5609999999999999</v>
      </c>
      <c r="O307" s="122">
        <v>332.84199999999998</v>
      </c>
      <c r="P307" s="112">
        <v>31.155000000000001</v>
      </c>
      <c r="Q307" s="112">
        <v>139.75900000000001</v>
      </c>
      <c r="R307" s="112">
        <v>316.99800000000005</v>
      </c>
      <c r="S307" s="112">
        <v>259.24700000000001</v>
      </c>
      <c r="T307" s="112">
        <v>128.251</v>
      </c>
      <c r="U307" s="112">
        <v>2.5609999999999999</v>
      </c>
      <c r="V307" s="112">
        <v>877.97</v>
      </c>
    </row>
    <row r="308" spans="1:22" x14ac:dyDescent="0.2">
      <c r="A308" s="47" t="s">
        <v>81</v>
      </c>
      <c r="B308" s="112">
        <v>16.707000000000001</v>
      </c>
      <c r="C308" s="112">
        <v>81.207000000000008</v>
      </c>
      <c r="D308" s="112">
        <v>210.35</v>
      </c>
      <c r="E308" s="112">
        <v>152.52700000000002</v>
      </c>
      <c r="F308" s="112">
        <v>71.626000000000005</v>
      </c>
      <c r="G308" s="112">
        <v>0</v>
      </c>
      <c r="H308" s="122">
        <v>532.41800000000001</v>
      </c>
      <c r="I308" s="112">
        <v>11.972</v>
      </c>
      <c r="J308" s="112">
        <v>56.006999999999998</v>
      </c>
      <c r="K308" s="112">
        <v>106.792</v>
      </c>
      <c r="L308" s="112">
        <v>108.09100000000001</v>
      </c>
      <c r="M308" s="112">
        <v>54.614000000000004</v>
      </c>
      <c r="N308" s="112">
        <v>3.222</v>
      </c>
      <c r="O308" s="122">
        <v>340.69799999999998</v>
      </c>
      <c r="P308" s="112">
        <v>28.679000000000002</v>
      </c>
      <c r="Q308" s="112">
        <v>137.214</v>
      </c>
      <c r="R308" s="112">
        <v>317.142</v>
      </c>
      <c r="S308" s="112">
        <v>260.61800000000005</v>
      </c>
      <c r="T308" s="112">
        <v>126.24000000000001</v>
      </c>
      <c r="U308" s="112">
        <v>3.222</v>
      </c>
      <c r="V308" s="112">
        <v>873.11599999999999</v>
      </c>
    </row>
    <row r="309" spans="1:22" x14ac:dyDescent="0.2">
      <c r="A309" s="47" t="s">
        <v>82</v>
      </c>
      <c r="B309" s="112">
        <v>19.193999999999999</v>
      </c>
      <c r="C309" s="112">
        <v>78.397000000000006</v>
      </c>
      <c r="D309" s="112">
        <v>222.43899999999999</v>
      </c>
      <c r="E309" s="112">
        <v>151.41399999999999</v>
      </c>
      <c r="F309" s="112">
        <v>74.866</v>
      </c>
      <c r="G309" s="112">
        <v>0</v>
      </c>
      <c r="H309" s="122">
        <v>546.30799999999999</v>
      </c>
      <c r="I309" s="112">
        <v>13.776999999999999</v>
      </c>
      <c r="J309" s="112">
        <v>57.716999999999999</v>
      </c>
      <c r="K309" s="112">
        <v>111.999</v>
      </c>
      <c r="L309" s="112">
        <v>112.04600000000001</v>
      </c>
      <c r="M309" s="112">
        <v>63.128999999999998</v>
      </c>
      <c r="N309" s="112">
        <v>2.85</v>
      </c>
      <c r="O309" s="122">
        <v>361.52</v>
      </c>
      <c r="P309" s="112">
        <v>32.970999999999997</v>
      </c>
      <c r="Q309" s="112">
        <v>136.114</v>
      </c>
      <c r="R309" s="112">
        <v>334.43799999999999</v>
      </c>
      <c r="S309" s="112">
        <v>263.45999999999998</v>
      </c>
      <c r="T309" s="112">
        <v>137.995</v>
      </c>
      <c r="U309" s="112">
        <v>2.85</v>
      </c>
      <c r="V309" s="112">
        <v>907.82799999999997</v>
      </c>
    </row>
    <row r="310" spans="1:22" x14ac:dyDescent="0.2">
      <c r="A310" s="47" t="s">
        <v>83</v>
      </c>
      <c r="B310" s="112">
        <v>53.484000000000009</v>
      </c>
      <c r="C310" s="112">
        <v>242.30799999999999</v>
      </c>
      <c r="D310" s="112">
        <v>646.13099999999997</v>
      </c>
      <c r="E310" s="112">
        <v>456.54500000000002</v>
      </c>
      <c r="F310" s="112">
        <v>225.38900000000001</v>
      </c>
      <c r="G310" s="112">
        <v>0</v>
      </c>
      <c r="H310" s="122">
        <v>1623.854</v>
      </c>
      <c r="I310" s="112">
        <v>39.320999999999998</v>
      </c>
      <c r="J310" s="112">
        <v>170.779</v>
      </c>
      <c r="K310" s="112">
        <v>322.447</v>
      </c>
      <c r="L310" s="112">
        <v>326.78000000000003</v>
      </c>
      <c r="M310" s="112">
        <v>167.09700000000001</v>
      </c>
      <c r="N310" s="112">
        <v>8.6329999999999991</v>
      </c>
      <c r="O310" s="122">
        <v>1035.06</v>
      </c>
      <c r="P310" s="112">
        <v>92.805000000000007</v>
      </c>
      <c r="Q310" s="112">
        <v>413.08699999999999</v>
      </c>
      <c r="R310" s="112">
        <v>968.57800000000009</v>
      </c>
      <c r="S310" s="112">
        <v>783.32500000000005</v>
      </c>
      <c r="T310" s="112">
        <v>392.48599999999999</v>
      </c>
      <c r="U310" s="112">
        <v>8.6329999999999991</v>
      </c>
      <c r="V310" s="112">
        <v>2658.9139999999998</v>
      </c>
    </row>
    <row r="311" spans="1:22" x14ac:dyDescent="0.2">
      <c r="A311" s="47" t="s">
        <v>85</v>
      </c>
      <c r="B311" s="112">
        <v>20.388999999999999</v>
      </c>
      <c r="C311" s="112">
        <v>93.923000000000002</v>
      </c>
      <c r="D311" s="112">
        <v>228.279</v>
      </c>
      <c r="E311" s="112">
        <v>162.977</v>
      </c>
      <c r="F311" s="112">
        <v>78.274000000000001</v>
      </c>
      <c r="G311" s="112">
        <v>0</v>
      </c>
      <c r="H311" s="122">
        <v>583.84299999999996</v>
      </c>
      <c r="I311" s="112">
        <v>17.588000000000001</v>
      </c>
      <c r="J311" s="112">
        <v>69.165999999999997</v>
      </c>
      <c r="K311" s="112">
        <v>121.666</v>
      </c>
      <c r="L311" s="112">
        <v>119.41200000000001</v>
      </c>
      <c r="M311" s="112">
        <v>61.869</v>
      </c>
      <c r="N311" s="112">
        <v>2.7890000000000001</v>
      </c>
      <c r="O311" s="122">
        <v>392.49</v>
      </c>
      <c r="P311" s="112">
        <v>37.975999999999999</v>
      </c>
      <c r="Q311" s="112">
        <v>163.089</v>
      </c>
      <c r="R311" s="112">
        <v>349.94499999999999</v>
      </c>
      <c r="S311" s="112">
        <v>282.39</v>
      </c>
      <c r="T311" s="112">
        <v>140.143</v>
      </c>
      <c r="U311" s="112">
        <v>2.7890000000000001</v>
      </c>
      <c r="V311" s="112">
        <v>976.33299999999997</v>
      </c>
    </row>
    <row r="312" spans="1:22" x14ac:dyDescent="0.2">
      <c r="A312" s="47" t="s">
        <v>86</v>
      </c>
      <c r="B312" s="112">
        <v>16.189</v>
      </c>
      <c r="C312" s="112">
        <v>81.385999999999996</v>
      </c>
      <c r="D312" s="112">
        <v>188.048</v>
      </c>
      <c r="E312" s="112">
        <v>147.91800000000001</v>
      </c>
      <c r="F312" s="112">
        <v>65.441999999999993</v>
      </c>
      <c r="G312" s="112">
        <v>0</v>
      </c>
      <c r="H312" s="122">
        <v>498.98200000000003</v>
      </c>
      <c r="I312" s="112">
        <v>14.237</v>
      </c>
      <c r="J312" s="112">
        <v>64.537999999999997</v>
      </c>
      <c r="K312" s="112">
        <v>115.77800000000001</v>
      </c>
      <c r="L312" s="112">
        <v>105.783</v>
      </c>
      <c r="M312" s="112">
        <v>55.786999999999999</v>
      </c>
      <c r="N312" s="112">
        <v>2.9369999999999998</v>
      </c>
      <c r="O312" s="122">
        <v>359.07</v>
      </c>
      <c r="P312" s="112">
        <v>30.426000000000002</v>
      </c>
      <c r="Q312" s="112">
        <v>145.92399999999998</v>
      </c>
      <c r="R312" s="112">
        <v>303.82600000000002</v>
      </c>
      <c r="S312" s="112">
        <v>253.70100000000002</v>
      </c>
      <c r="T312" s="112">
        <v>121.22899999999998</v>
      </c>
      <c r="U312" s="112">
        <v>2.9369999999999998</v>
      </c>
      <c r="V312" s="112">
        <v>858.05200000000002</v>
      </c>
    </row>
    <row r="313" spans="1:22" x14ac:dyDescent="0.2">
      <c r="A313" s="47" t="s">
        <v>87</v>
      </c>
      <c r="B313" s="112">
        <v>16.16</v>
      </c>
      <c r="C313" s="112">
        <v>72.665999999999997</v>
      </c>
      <c r="D313" s="112">
        <v>169.495</v>
      </c>
      <c r="E313" s="112">
        <v>143.23699999999999</v>
      </c>
      <c r="F313" s="112">
        <v>62.198999999999998</v>
      </c>
      <c r="G313" s="112">
        <v>1.9079999999999999</v>
      </c>
      <c r="H313" s="122">
        <v>465.66800000000001</v>
      </c>
      <c r="I313" s="112">
        <v>13.144</v>
      </c>
      <c r="J313" s="112">
        <v>53.616999999999997</v>
      </c>
      <c r="K313" s="112">
        <v>103.446</v>
      </c>
      <c r="L313" s="112">
        <v>93.111999999999995</v>
      </c>
      <c r="M313" s="112">
        <v>46.128999999999998</v>
      </c>
      <c r="N313" s="112">
        <v>2.3359999999999999</v>
      </c>
      <c r="O313" s="122">
        <v>311.78399999999999</v>
      </c>
      <c r="P313" s="112">
        <v>29.304000000000002</v>
      </c>
      <c r="Q313" s="112">
        <v>126.28299999999999</v>
      </c>
      <c r="R313" s="112">
        <v>272.94100000000003</v>
      </c>
      <c r="S313" s="112">
        <v>236.34899999999999</v>
      </c>
      <c r="T313" s="112">
        <v>108.328</v>
      </c>
      <c r="U313" s="112">
        <v>4.2439999999999998</v>
      </c>
      <c r="V313" s="112">
        <v>777.452</v>
      </c>
    </row>
    <row r="314" spans="1:22" x14ac:dyDescent="0.2">
      <c r="A314" s="47" t="s">
        <v>84</v>
      </c>
      <c r="B314" s="112">
        <v>52.738</v>
      </c>
      <c r="C314" s="112">
        <v>247.97499999999999</v>
      </c>
      <c r="D314" s="112">
        <v>585.822</v>
      </c>
      <c r="E314" s="112">
        <v>454.13199999999995</v>
      </c>
      <c r="F314" s="112">
        <v>205.91500000000002</v>
      </c>
      <c r="G314" s="112">
        <v>1.9079999999999999</v>
      </c>
      <c r="H314" s="122">
        <v>1548.4929999999999</v>
      </c>
      <c r="I314" s="112">
        <v>44.969000000000001</v>
      </c>
      <c r="J314" s="112">
        <v>187.321</v>
      </c>
      <c r="K314" s="112">
        <v>340.89</v>
      </c>
      <c r="L314" s="112">
        <v>318.30700000000002</v>
      </c>
      <c r="M314" s="112">
        <v>163.785</v>
      </c>
      <c r="N314" s="112">
        <v>8.0619999999999994</v>
      </c>
      <c r="O314" s="122">
        <v>1063.3440000000001</v>
      </c>
      <c r="P314" s="112">
        <v>97.706000000000003</v>
      </c>
      <c r="Q314" s="112">
        <v>435.29599999999994</v>
      </c>
      <c r="R314" s="112">
        <v>926.71199999999999</v>
      </c>
      <c r="S314" s="112">
        <v>772.44</v>
      </c>
      <c r="T314" s="112">
        <v>369.69999999999993</v>
      </c>
      <c r="U314" s="112">
        <v>9.9699999999999989</v>
      </c>
      <c r="V314" s="112">
        <v>2611.837</v>
      </c>
    </row>
    <row r="315" spans="1:22" x14ac:dyDescent="0.2">
      <c r="A315" s="47"/>
      <c r="B315" s="112"/>
      <c r="C315" s="112"/>
      <c r="D315" s="112"/>
      <c r="E315" s="112"/>
      <c r="F315" s="112"/>
      <c r="G315" s="112"/>
      <c r="H315" s="122"/>
      <c r="I315" s="112"/>
      <c r="J315" s="112"/>
      <c r="K315" s="112"/>
      <c r="L315" s="112"/>
      <c r="M315" s="112"/>
      <c r="N315" s="112"/>
      <c r="O315" s="122"/>
      <c r="P315" s="112"/>
      <c r="Q315" s="112"/>
      <c r="R315" s="112"/>
      <c r="S315" s="112"/>
      <c r="T315" s="112"/>
      <c r="U315" s="112"/>
      <c r="V315" s="112"/>
    </row>
    <row r="316" spans="1:22" x14ac:dyDescent="0.2">
      <c r="A316" s="114">
        <v>2015</v>
      </c>
      <c r="B316" s="112"/>
      <c r="C316" s="112"/>
      <c r="D316" s="112"/>
      <c r="E316" s="112"/>
      <c r="F316" s="112"/>
      <c r="G316" s="112"/>
      <c r="H316" s="122"/>
      <c r="I316" s="112"/>
      <c r="J316" s="112"/>
      <c r="K316" s="112"/>
      <c r="L316" s="112"/>
      <c r="M316" s="112"/>
      <c r="N316" s="112"/>
      <c r="O316" s="122"/>
      <c r="P316" s="112"/>
      <c r="Q316" s="112"/>
      <c r="R316" s="112"/>
      <c r="S316" s="112"/>
      <c r="T316" s="112"/>
      <c r="U316" s="112"/>
      <c r="V316" s="112"/>
    </row>
    <row r="317" spans="1:22" x14ac:dyDescent="0.2">
      <c r="A317" s="47" t="s">
        <v>74</v>
      </c>
      <c r="B317" s="112">
        <v>14.827</v>
      </c>
      <c r="C317" s="112">
        <v>74.481999999999999</v>
      </c>
      <c r="D317" s="112">
        <v>206.405</v>
      </c>
      <c r="E317" s="112">
        <v>154.82</v>
      </c>
      <c r="F317" s="112">
        <v>65.56</v>
      </c>
      <c r="G317" s="112">
        <v>0</v>
      </c>
      <c r="H317" s="122">
        <v>516.096</v>
      </c>
      <c r="I317" s="112">
        <v>13.157</v>
      </c>
      <c r="J317" s="112">
        <v>46.887999999999998</v>
      </c>
      <c r="K317" s="112">
        <v>84.692999999999998</v>
      </c>
      <c r="L317" s="112">
        <v>80.126000000000005</v>
      </c>
      <c r="M317" s="112">
        <v>44.610999999999997</v>
      </c>
      <c r="N317" s="112">
        <v>2.2959999999999998</v>
      </c>
      <c r="O317" s="122">
        <v>271.77</v>
      </c>
      <c r="P317" s="112">
        <v>27.984000000000002</v>
      </c>
      <c r="Q317" s="112">
        <v>121.37</v>
      </c>
      <c r="R317" s="112">
        <v>291.09800000000001</v>
      </c>
      <c r="S317" s="112">
        <v>234.946</v>
      </c>
      <c r="T317" s="112">
        <v>110.17100000000001</v>
      </c>
      <c r="U317" s="112">
        <v>2.2959999999999998</v>
      </c>
      <c r="V317" s="112">
        <v>787.86599999999999</v>
      </c>
    </row>
    <row r="318" spans="1:22" x14ac:dyDescent="0.2">
      <c r="A318" s="47" t="s">
        <v>75</v>
      </c>
      <c r="B318" s="112">
        <v>15.128</v>
      </c>
      <c r="C318" s="112">
        <v>72.44</v>
      </c>
      <c r="D318" s="112">
        <v>190.23400000000001</v>
      </c>
      <c r="E318" s="112">
        <v>151.25700000000001</v>
      </c>
      <c r="F318" s="112">
        <v>63.844999999999999</v>
      </c>
      <c r="G318" s="112">
        <v>0</v>
      </c>
      <c r="H318" s="122">
        <v>492.904</v>
      </c>
      <c r="I318" s="112">
        <v>12.848000000000001</v>
      </c>
      <c r="J318" s="112">
        <v>47.109000000000002</v>
      </c>
      <c r="K318" s="112">
        <v>86.009</v>
      </c>
      <c r="L318" s="112">
        <v>84.658000000000001</v>
      </c>
      <c r="M318" s="112">
        <v>45.122</v>
      </c>
      <c r="N318" s="112">
        <v>2.2810000000000001</v>
      </c>
      <c r="O318" s="122">
        <v>278.02700000000004</v>
      </c>
      <c r="P318" s="112">
        <v>27.975999999999999</v>
      </c>
      <c r="Q318" s="112">
        <v>119.54900000000001</v>
      </c>
      <c r="R318" s="112">
        <v>276.24299999999999</v>
      </c>
      <c r="S318" s="112">
        <v>235.91500000000002</v>
      </c>
      <c r="T318" s="112">
        <v>108.967</v>
      </c>
      <c r="U318" s="112">
        <v>2.2810000000000001</v>
      </c>
      <c r="V318" s="112">
        <v>770.93100000000004</v>
      </c>
    </row>
    <row r="319" spans="1:22" x14ac:dyDescent="0.2">
      <c r="A319" s="47" t="s">
        <v>76</v>
      </c>
      <c r="B319" s="112">
        <v>17.047000000000001</v>
      </c>
      <c r="C319" s="112">
        <v>81.174999999999997</v>
      </c>
      <c r="D319" s="112">
        <v>217.53</v>
      </c>
      <c r="E319" s="112">
        <v>180.81</v>
      </c>
      <c r="F319" s="112">
        <v>74.463999999999999</v>
      </c>
      <c r="G319" s="112">
        <v>0</v>
      </c>
      <c r="H319" s="122">
        <v>571.02700000000004</v>
      </c>
      <c r="I319" s="112">
        <v>15.532999999999999</v>
      </c>
      <c r="J319" s="112">
        <v>52.127000000000002</v>
      </c>
      <c r="K319" s="112">
        <v>107.874</v>
      </c>
      <c r="L319" s="112">
        <v>102.143</v>
      </c>
      <c r="M319" s="112">
        <v>46.939</v>
      </c>
      <c r="N319" s="112">
        <v>3.1789999999999998</v>
      </c>
      <c r="O319" s="122">
        <v>327.79500000000002</v>
      </c>
      <c r="P319" s="112">
        <v>32.58</v>
      </c>
      <c r="Q319" s="112">
        <v>133.30199999999999</v>
      </c>
      <c r="R319" s="112">
        <v>325.404</v>
      </c>
      <c r="S319" s="112">
        <v>282.95299999999997</v>
      </c>
      <c r="T319" s="112">
        <v>121.40300000000001</v>
      </c>
      <c r="U319" s="112">
        <v>3.1789999999999998</v>
      </c>
      <c r="V319" s="112">
        <v>898.822</v>
      </c>
    </row>
    <row r="320" spans="1:22" x14ac:dyDescent="0.2">
      <c r="A320" s="47" t="s">
        <v>77</v>
      </c>
      <c r="B320" s="112">
        <v>47.001999999999995</v>
      </c>
      <c r="C320" s="112">
        <v>228.09699999999998</v>
      </c>
      <c r="D320" s="112">
        <v>614.16899999999998</v>
      </c>
      <c r="E320" s="112">
        <v>486.887</v>
      </c>
      <c r="F320" s="112">
        <v>203.869</v>
      </c>
      <c r="G320" s="112">
        <v>0</v>
      </c>
      <c r="H320" s="122">
        <v>1580.027</v>
      </c>
      <c r="I320" s="112">
        <v>41.538000000000004</v>
      </c>
      <c r="J320" s="112">
        <v>146.124</v>
      </c>
      <c r="K320" s="112">
        <v>278.57600000000002</v>
      </c>
      <c r="L320" s="112">
        <v>266.92700000000002</v>
      </c>
      <c r="M320" s="112">
        <v>136.672</v>
      </c>
      <c r="N320" s="112">
        <v>7.7560000000000002</v>
      </c>
      <c r="O320" s="122">
        <v>877.5920000000001</v>
      </c>
      <c r="P320" s="112">
        <v>88.539999999999992</v>
      </c>
      <c r="Q320" s="112">
        <v>374.221</v>
      </c>
      <c r="R320" s="112">
        <v>892.745</v>
      </c>
      <c r="S320" s="112">
        <v>753.81399999999996</v>
      </c>
      <c r="T320" s="112">
        <v>340.541</v>
      </c>
      <c r="U320" s="112">
        <v>7.7560000000000002</v>
      </c>
      <c r="V320" s="112">
        <v>2457.6190000000001</v>
      </c>
    </row>
    <row r="321" spans="1:22" x14ac:dyDescent="0.2">
      <c r="A321" s="47" t="s">
        <v>78</v>
      </c>
      <c r="B321" s="112">
        <v>15.961</v>
      </c>
      <c r="C321" s="112">
        <v>75.352000000000004</v>
      </c>
      <c r="D321" s="112">
        <v>198.255</v>
      </c>
      <c r="E321" s="112">
        <v>168.04</v>
      </c>
      <c r="F321" s="112">
        <v>72.902000000000001</v>
      </c>
      <c r="G321" s="112">
        <v>0.34</v>
      </c>
      <c r="H321" s="122">
        <v>530.85</v>
      </c>
      <c r="I321" s="112">
        <v>13.439</v>
      </c>
      <c r="J321" s="112">
        <v>49.442</v>
      </c>
      <c r="K321" s="112">
        <v>100.497</v>
      </c>
      <c r="L321" s="112">
        <v>85.036000000000001</v>
      </c>
      <c r="M321" s="112">
        <v>50.771999999999998</v>
      </c>
      <c r="N321" s="112">
        <v>2.4460000000000002</v>
      </c>
      <c r="O321" s="122">
        <v>301.62900000000002</v>
      </c>
      <c r="P321" s="112">
        <v>29.4</v>
      </c>
      <c r="Q321" s="112">
        <v>124.79400000000001</v>
      </c>
      <c r="R321" s="112">
        <v>298.75200000000001</v>
      </c>
      <c r="S321" s="112">
        <v>253.07599999999999</v>
      </c>
      <c r="T321" s="112">
        <v>123.67400000000001</v>
      </c>
      <c r="U321" s="112">
        <v>2.786</v>
      </c>
      <c r="V321" s="112">
        <v>832.47900000000004</v>
      </c>
    </row>
    <row r="322" spans="1:22" x14ac:dyDescent="0.2">
      <c r="A322" s="47" t="s">
        <v>79</v>
      </c>
      <c r="B322" s="112">
        <v>16.244</v>
      </c>
      <c r="C322" s="112">
        <v>80.242000000000004</v>
      </c>
      <c r="D322" s="112">
        <v>190.012</v>
      </c>
      <c r="E322" s="112">
        <v>159.809</v>
      </c>
      <c r="F322" s="112">
        <v>70.963999999999999</v>
      </c>
      <c r="G322" s="112">
        <v>0</v>
      </c>
      <c r="H322" s="122">
        <v>517.27099999999996</v>
      </c>
      <c r="I322" s="112">
        <v>13.102</v>
      </c>
      <c r="J322" s="112">
        <v>52.462000000000003</v>
      </c>
      <c r="K322" s="112">
        <v>96.942999999999998</v>
      </c>
      <c r="L322" s="112">
        <v>96.605000000000004</v>
      </c>
      <c r="M322" s="112">
        <v>54.04</v>
      </c>
      <c r="N322" s="112">
        <v>2.891</v>
      </c>
      <c r="O322" s="122">
        <v>316.04300000000001</v>
      </c>
      <c r="P322" s="112">
        <v>29.346</v>
      </c>
      <c r="Q322" s="112">
        <v>132.70400000000001</v>
      </c>
      <c r="R322" s="112">
        <v>286.95499999999998</v>
      </c>
      <c r="S322" s="112">
        <v>256.41399999999999</v>
      </c>
      <c r="T322" s="112">
        <v>125.00399999999999</v>
      </c>
      <c r="U322" s="112">
        <v>2.891</v>
      </c>
      <c r="V322" s="112">
        <v>833.31399999999996</v>
      </c>
    </row>
    <row r="323" spans="1:22" x14ac:dyDescent="0.2">
      <c r="A323" s="47" t="s">
        <v>89</v>
      </c>
      <c r="B323" s="112">
        <v>17.57</v>
      </c>
      <c r="C323" s="112">
        <v>85.908000000000001</v>
      </c>
      <c r="D323" s="112">
        <v>201.46700000000001</v>
      </c>
      <c r="E323" s="112">
        <v>165.01499999999999</v>
      </c>
      <c r="F323" s="112">
        <v>77.611000000000004</v>
      </c>
      <c r="G323" s="112">
        <v>0</v>
      </c>
      <c r="H323" s="122">
        <v>547.57100000000003</v>
      </c>
      <c r="I323" s="112">
        <v>14.509</v>
      </c>
      <c r="J323" s="112">
        <v>56.945999999999998</v>
      </c>
      <c r="K323" s="112">
        <v>112.608</v>
      </c>
      <c r="L323" s="112">
        <v>144.042</v>
      </c>
      <c r="M323" s="112">
        <v>57.694000000000003</v>
      </c>
      <c r="N323" s="112">
        <v>2.7829999999999999</v>
      </c>
      <c r="O323" s="122">
        <v>388.58200000000005</v>
      </c>
      <c r="P323" s="112">
        <v>32.079000000000001</v>
      </c>
      <c r="Q323" s="112">
        <v>142.85399999999998</v>
      </c>
      <c r="R323" s="112">
        <v>314.07500000000005</v>
      </c>
      <c r="S323" s="112">
        <v>309.05700000000002</v>
      </c>
      <c r="T323" s="112">
        <v>135.30500000000001</v>
      </c>
      <c r="U323" s="112">
        <v>2.7829999999999999</v>
      </c>
      <c r="V323" s="112">
        <v>936.15300000000002</v>
      </c>
    </row>
    <row r="324" spans="1:22" x14ac:dyDescent="0.2">
      <c r="A324" s="47" t="s">
        <v>80</v>
      </c>
      <c r="B324" s="112">
        <v>49.774999999999999</v>
      </c>
      <c r="C324" s="112">
        <v>241.50200000000001</v>
      </c>
      <c r="D324" s="112">
        <v>589.73400000000004</v>
      </c>
      <c r="E324" s="112">
        <v>492.86399999999998</v>
      </c>
      <c r="F324" s="112">
        <v>221.47699999999998</v>
      </c>
      <c r="G324" s="112">
        <v>0.34</v>
      </c>
      <c r="H324" s="122">
        <v>1595.692</v>
      </c>
      <c r="I324" s="112">
        <v>41.05</v>
      </c>
      <c r="J324" s="112">
        <v>158.85</v>
      </c>
      <c r="K324" s="112">
        <v>310.048</v>
      </c>
      <c r="L324" s="112">
        <v>325.68299999999999</v>
      </c>
      <c r="M324" s="112">
        <v>162.506</v>
      </c>
      <c r="N324" s="112">
        <v>8.1199999999999992</v>
      </c>
      <c r="O324" s="122">
        <v>1006.2540000000001</v>
      </c>
      <c r="P324" s="112">
        <v>90.824999999999989</v>
      </c>
      <c r="Q324" s="112">
        <v>400.35200000000003</v>
      </c>
      <c r="R324" s="112">
        <v>899.78200000000004</v>
      </c>
      <c r="S324" s="112">
        <v>818.54700000000003</v>
      </c>
      <c r="T324" s="112">
        <v>383.983</v>
      </c>
      <c r="U324" s="112">
        <v>8.4599999999999991</v>
      </c>
      <c r="V324" s="112">
        <v>2601.9459999999999</v>
      </c>
    </row>
    <row r="325" spans="1:22" x14ac:dyDescent="0.2">
      <c r="A325" s="47" t="s">
        <v>90</v>
      </c>
      <c r="B325" s="112">
        <v>19.032</v>
      </c>
      <c r="C325" s="112">
        <v>89.352999999999994</v>
      </c>
      <c r="D325" s="112">
        <v>214.69300000000001</v>
      </c>
      <c r="E325" s="112">
        <v>166.518</v>
      </c>
      <c r="F325" s="112">
        <v>75.507000000000005</v>
      </c>
      <c r="G325" s="112">
        <v>0</v>
      </c>
      <c r="H325" s="122">
        <v>565.09900000000005</v>
      </c>
      <c r="I325" s="112">
        <v>15.37</v>
      </c>
      <c r="J325" s="112">
        <v>56.030999999999999</v>
      </c>
      <c r="K325" s="112">
        <v>106.336</v>
      </c>
      <c r="L325" s="112">
        <v>95.778000000000006</v>
      </c>
      <c r="M325" s="112">
        <v>52.253</v>
      </c>
      <c r="N325" s="112">
        <v>2.6120000000000001</v>
      </c>
      <c r="O325" s="122">
        <v>328.38</v>
      </c>
      <c r="P325" s="112">
        <v>34.402000000000001</v>
      </c>
      <c r="Q325" s="112">
        <v>145.38399999999999</v>
      </c>
      <c r="R325" s="112">
        <v>321.029</v>
      </c>
      <c r="S325" s="112">
        <v>262.29599999999999</v>
      </c>
      <c r="T325" s="112">
        <v>127.76</v>
      </c>
      <c r="U325" s="112">
        <v>2.6120000000000001</v>
      </c>
      <c r="V325" s="112">
        <v>893.47900000000004</v>
      </c>
    </row>
    <row r="326" spans="1:22" x14ac:dyDescent="0.2">
      <c r="A326" s="47" t="s">
        <v>81</v>
      </c>
      <c r="B326" s="112">
        <v>18.170999999999999</v>
      </c>
      <c r="C326" s="112">
        <v>84.058999999999997</v>
      </c>
      <c r="D326" s="112">
        <v>221.47</v>
      </c>
      <c r="E326" s="112">
        <v>168.52699999999999</v>
      </c>
      <c r="F326" s="112">
        <v>70.284000000000006</v>
      </c>
      <c r="G326" s="112">
        <v>0</v>
      </c>
      <c r="H326" s="122">
        <v>562.51400000000001</v>
      </c>
      <c r="I326" s="112">
        <v>15.337999999999999</v>
      </c>
      <c r="J326" s="112">
        <v>55.398000000000003</v>
      </c>
      <c r="K326" s="112">
        <v>103.661</v>
      </c>
      <c r="L326" s="112">
        <v>98.411000000000001</v>
      </c>
      <c r="M326" s="112">
        <v>54.122</v>
      </c>
      <c r="N326" s="112">
        <v>2.8370000000000002</v>
      </c>
      <c r="O326" s="122">
        <v>329.767</v>
      </c>
      <c r="P326" s="112">
        <v>33.509</v>
      </c>
      <c r="Q326" s="112">
        <v>139.45699999999999</v>
      </c>
      <c r="R326" s="112">
        <v>325.13099999999997</v>
      </c>
      <c r="S326" s="112">
        <v>266.93799999999999</v>
      </c>
      <c r="T326" s="112">
        <v>124.40600000000001</v>
      </c>
      <c r="U326" s="112">
        <v>2.8370000000000002</v>
      </c>
      <c r="V326" s="112">
        <v>892.28099999999995</v>
      </c>
    </row>
    <row r="327" spans="1:22" x14ac:dyDescent="0.2">
      <c r="A327" s="47" t="s">
        <v>82</v>
      </c>
      <c r="B327" s="112">
        <v>18.460999999999999</v>
      </c>
      <c r="C327" s="112">
        <v>84.742000000000004</v>
      </c>
      <c r="D327" s="112">
        <v>208.41300000000001</v>
      </c>
      <c r="E327" s="112">
        <v>153.50800000000001</v>
      </c>
      <c r="F327" s="112">
        <v>75.430999999999997</v>
      </c>
      <c r="G327" s="112">
        <v>12.81</v>
      </c>
      <c r="H327" s="122">
        <v>553.36099999999999</v>
      </c>
      <c r="I327" s="112">
        <v>15.465999999999999</v>
      </c>
      <c r="J327" s="112">
        <v>59.292000000000002</v>
      </c>
      <c r="K327" s="112">
        <v>111.001</v>
      </c>
      <c r="L327" s="112">
        <v>98.194999999999993</v>
      </c>
      <c r="M327" s="112">
        <v>42.832999999999998</v>
      </c>
      <c r="N327" s="112">
        <v>2.6629999999999998</v>
      </c>
      <c r="O327" s="122">
        <v>329.452</v>
      </c>
      <c r="P327" s="112">
        <v>33.927</v>
      </c>
      <c r="Q327" s="112">
        <v>144.03399999999999</v>
      </c>
      <c r="R327" s="112">
        <v>319.41399999999999</v>
      </c>
      <c r="S327" s="112">
        <v>251.703</v>
      </c>
      <c r="T327" s="112">
        <v>118.264</v>
      </c>
      <c r="U327" s="112">
        <v>15.473000000000001</v>
      </c>
      <c r="V327" s="112">
        <v>882.81299999999999</v>
      </c>
    </row>
    <row r="328" spans="1:22" x14ac:dyDescent="0.2">
      <c r="A328" s="47" t="s">
        <v>83</v>
      </c>
      <c r="B328" s="112">
        <v>55.664000000000001</v>
      </c>
      <c r="C328" s="112">
        <v>258.154</v>
      </c>
      <c r="D328" s="112">
        <v>644.57600000000002</v>
      </c>
      <c r="E328" s="112">
        <v>488.553</v>
      </c>
      <c r="F328" s="112">
        <v>221.22199999999998</v>
      </c>
      <c r="G328" s="112">
        <v>12.81</v>
      </c>
      <c r="H328" s="122">
        <v>1680.9740000000002</v>
      </c>
      <c r="I328" s="112">
        <v>46.173999999999999</v>
      </c>
      <c r="J328" s="112">
        <v>170.721</v>
      </c>
      <c r="K328" s="112">
        <v>320.99800000000005</v>
      </c>
      <c r="L328" s="112">
        <v>292.38400000000001</v>
      </c>
      <c r="M328" s="112">
        <v>149.208</v>
      </c>
      <c r="N328" s="112">
        <v>8.1120000000000001</v>
      </c>
      <c r="O328" s="122">
        <v>987.59899999999993</v>
      </c>
      <c r="P328" s="112">
        <v>101.83799999999999</v>
      </c>
      <c r="Q328" s="112">
        <v>428.875</v>
      </c>
      <c r="R328" s="112">
        <v>965.57399999999996</v>
      </c>
      <c r="S328" s="112">
        <v>780.9369999999999</v>
      </c>
      <c r="T328" s="112">
        <v>370.43</v>
      </c>
      <c r="U328" s="112">
        <v>20.922000000000001</v>
      </c>
      <c r="V328" s="112">
        <v>2668.5729999999999</v>
      </c>
    </row>
    <row r="329" spans="1:22" x14ac:dyDescent="0.2">
      <c r="A329" s="47" t="s">
        <v>85</v>
      </c>
      <c r="B329" s="112">
        <v>19.707999999999998</v>
      </c>
      <c r="C329" s="112">
        <v>83.887</v>
      </c>
      <c r="D329" s="112">
        <v>200.88200000000001</v>
      </c>
      <c r="E329" s="112">
        <v>158.92699999999999</v>
      </c>
      <c r="F329" s="112">
        <v>74.486000000000004</v>
      </c>
      <c r="G329" s="112">
        <v>0</v>
      </c>
      <c r="H329" s="122">
        <v>537.88900000000001</v>
      </c>
      <c r="I329" s="112">
        <v>16.349</v>
      </c>
      <c r="J329" s="112">
        <v>57.279000000000003</v>
      </c>
      <c r="K329" s="112">
        <v>112.985</v>
      </c>
      <c r="L329" s="112">
        <v>96.878</v>
      </c>
      <c r="M329" s="112">
        <v>50.942</v>
      </c>
      <c r="N329" s="112">
        <v>2.5289999999999999</v>
      </c>
      <c r="O329" s="122">
        <v>336.964</v>
      </c>
      <c r="P329" s="112">
        <v>36.057000000000002</v>
      </c>
      <c r="Q329" s="112">
        <v>141.166</v>
      </c>
      <c r="R329" s="112">
        <v>313.86700000000002</v>
      </c>
      <c r="S329" s="112">
        <v>255.80500000000001</v>
      </c>
      <c r="T329" s="112">
        <v>125.428</v>
      </c>
      <c r="U329" s="112">
        <v>2.5289999999999999</v>
      </c>
      <c r="V329" s="112">
        <v>874.85300000000007</v>
      </c>
    </row>
    <row r="330" spans="1:22" x14ac:dyDescent="0.2">
      <c r="A330" s="47" t="s">
        <v>86</v>
      </c>
      <c r="B330" s="112">
        <v>17.411000000000001</v>
      </c>
      <c r="C330" s="112">
        <v>89.162999999999997</v>
      </c>
      <c r="D330" s="112">
        <v>195.56800000000001</v>
      </c>
      <c r="E330" s="112">
        <v>162.25800000000001</v>
      </c>
      <c r="F330" s="112">
        <v>67.846000000000004</v>
      </c>
      <c r="G330" s="112">
        <v>0</v>
      </c>
      <c r="H330" s="122">
        <v>532.24400000000003</v>
      </c>
      <c r="I330" s="112">
        <v>15.804</v>
      </c>
      <c r="J330" s="112">
        <v>53.499000000000002</v>
      </c>
      <c r="K330" s="112">
        <v>103.92400000000001</v>
      </c>
      <c r="L330" s="112">
        <v>100.51600000000001</v>
      </c>
      <c r="M330" s="112">
        <v>48.881</v>
      </c>
      <c r="N330" s="112">
        <v>3.0219999999999998</v>
      </c>
      <c r="O330" s="122">
        <v>325.64600000000002</v>
      </c>
      <c r="P330" s="112">
        <v>33.215000000000003</v>
      </c>
      <c r="Q330" s="112">
        <v>142.66200000000001</v>
      </c>
      <c r="R330" s="112">
        <v>299.49200000000002</v>
      </c>
      <c r="S330" s="112">
        <v>262.774</v>
      </c>
      <c r="T330" s="112">
        <v>116.727</v>
      </c>
      <c r="U330" s="112">
        <v>3.0219999999999998</v>
      </c>
      <c r="V330" s="112">
        <v>857.8900000000001</v>
      </c>
    </row>
    <row r="331" spans="1:22" x14ac:dyDescent="0.2">
      <c r="A331" s="47" t="s">
        <v>87</v>
      </c>
      <c r="B331" s="112">
        <v>16.291</v>
      </c>
      <c r="C331" s="112">
        <v>78.936000000000007</v>
      </c>
      <c r="D331" s="112">
        <v>178.82599999999999</v>
      </c>
      <c r="E331" s="112">
        <v>151.00200000000001</v>
      </c>
      <c r="F331" s="112">
        <v>65.444999999999993</v>
      </c>
      <c r="G331" s="112">
        <v>0</v>
      </c>
      <c r="H331" s="122">
        <v>490.49700000000001</v>
      </c>
      <c r="I331" s="112">
        <v>11.58</v>
      </c>
      <c r="J331" s="112">
        <v>46.311999999999998</v>
      </c>
      <c r="K331" s="112">
        <v>94.653000000000006</v>
      </c>
      <c r="L331" s="112">
        <v>85.054000000000002</v>
      </c>
      <c r="M331" s="112">
        <v>46.408000000000001</v>
      </c>
      <c r="N331" s="112">
        <v>1.4890000000000001</v>
      </c>
      <c r="O331" s="122">
        <v>285.495</v>
      </c>
      <c r="P331" s="112">
        <v>27.871000000000002</v>
      </c>
      <c r="Q331" s="112">
        <v>125.248</v>
      </c>
      <c r="R331" s="112">
        <v>273.47899999999998</v>
      </c>
      <c r="S331" s="112">
        <v>236.05600000000001</v>
      </c>
      <c r="T331" s="112">
        <v>111.85299999999999</v>
      </c>
      <c r="U331" s="112">
        <v>1.4890000000000001</v>
      </c>
      <c r="V331" s="112">
        <v>775.99199999999996</v>
      </c>
    </row>
    <row r="332" spans="1:22" x14ac:dyDescent="0.2">
      <c r="A332" s="47" t="s">
        <v>84</v>
      </c>
      <c r="B332" s="112">
        <v>53.41</v>
      </c>
      <c r="C332" s="112">
        <v>251.98600000000002</v>
      </c>
      <c r="D332" s="112">
        <v>575.27600000000007</v>
      </c>
      <c r="E332" s="112">
        <v>472.18700000000001</v>
      </c>
      <c r="F332" s="112">
        <v>207.77699999999999</v>
      </c>
      <c r="G332" s="112">
        <v>0</v>
      </c>
      <c r="H332" s="122">
        <v>1560.63</v>
      </c>
      <c r="I332" s="112">
        <v>43.732999999999997</v>
      </c>
      <c r="J332" s="112">
        <v>157.09</v>
      </c>
      <c r="K332" s="112">
        <v>311.56200000000001</v>
      </c>
      <c r="L332" s="112">
        <v>282.44799999999998</v>
      </c>
      <c r="M332" s="112">
        <v>146.23099999999999</v>
      </c>
      <c r="N332" s="112">
        <v>7.04</v>
      </c>
      <c r="O332" s="122">
        <v>948.10500000000002</v>
      </c>
      <c r="P332" s="112">
        <v>97.143000000000001</v>
      </c>
      <c r="Q332" s="112">
        <v>409.07599999999996</v>
      </c>
      <c r="R332" s="112">
        <v>886.83799999999997</v>
      </c>
      <c r="S332" s="112">
        <v>754.63499999999999</v>
      </c>
      <c r="T332" s="112">
        <v>354.00799999999998</v>
      </c>
      <c r="U332" s="112">
        <v>7.04</v>
      </c>
      <c r="V332" s="112">
        <v>2508.7350000000001</v>
      </c>
    </row>
    <row r="333" spans="1:22" x14ac:dyDescent="0.2">
      <c r="A333" s="47"/>
      <c r="B333" s="112"/>
      <c r="C333" s="112"/>
      <c r="D333" s="112"/>
      <c r="E333" s="112"/>
      <c r="F333" s="112"/>
      <c r="G333" s="112"/>
      <c r="H333" s="122"/>
      <c r="I333" s="112"/>
      <c r="J333" s="112"/>
      <c r="K333" s="112"/>
      <c r="L333" s="112"/>
      <c r="M333" s="112"/>
      <c r="N333" s="112"/>
      <c r="O333" s="122"/>
      <c r="P333" s="112"/>
      <c r="Q333" s="112"/>
      <c r="R333" s="112"/>
      <c r="S333" s="112"/>
      <c r="T333" s="112"/>
      <c r="U333" s="112"/>
      <c r="V333" s="112"/>
    </row>
    <row r="334" spans="1:22" x14ac:dyDescent="0.2">
      <c r="A334" s="114">
        <v>2016</v>
      </c>
      <c r="B334" s="112"/>
      <c r="C334" s="112"/>
      <c r="D334" s="112"/>
      <c r="E334" s="112"/>
      <c r="F334" s="112"/>
      <c r="G334" s="112"/>
      <c r="H334" s="122"/>
      <c r="I334" s="112"/>
      <c r="J334" s="112"/>
      <c r="K334" s="112"/>
      <c r="L334" s="112"/>
      <c r="M334" s="112"/>
      <c r="N334" s="112"/>
      <c r="O334" s="122"/>
      <c r="P334" s="112"/>
      <c r="Q334" s="112"/>
      <c r="R334" s="112"/>
      <c r="S334" s="112"/>
      <c r="T334" s="112"/>
      <c r="U334" s="112"/>
      <c r="V334" s="112"/>
    </row>
    <row r="335" spans="1:22" x14ac:dyDescent="0.2">
      <c r="A335" s="47" t="s">
        <v>74</v>
      </c>
      <c r="B335" s="112">
        <v>18.460999999999999</v>
      </c>
      <c r="C335" s="112">
        <v>84.742000000000004</v>
      </c>
      <c r="D335" s="112">
        <v>208.41300000000001</v>
      </c>
      <c r="E335" s="112">
        <v>153.50800000000001</v>
      </c>
      <c r="F335" s="112">
        <v>75.430999999999997</v>
      </c>
      <c r="G335" s="112">
        <v>12.81</v>
      </c>
      <c r="H335" s="122">
        <v>553.36099999999999</v>
      </c>
      <c r="I335" s="112">
        <v>15.659000000000001</v>
      </c>
      <c r="J335" s="112">
        <v>59.476999999999997</v>
      </c>
      <c r="K335" s="112">
        <v>111.71</v>
      </c>
      <c r="L335" s="112">
        <v>101.858</v>
      </c>
      <c r="M335" s="112">
        <v>47.847000000000001</v>
      </c>
      <c r="N335" s="112">
        <v>2.6629999999999998</v>
      </c>
      <c r="O335" s="122">
        <v>339.21499999999997</v>
      </c>
      <c r="P335" s="112">
        <v>34.119999999999997</v>
      </c>
      <c r="Q335" s="112">
        <v>144.21899999999999</v>
      </c>
      <c r="R335" s="112">
        <v>320.12299999999999</v>
      </c>
      <c r="S335" s="112">
        <v>255.36600000000001</v>
      </c>
      <c r="T335" s="112">
        <v>123.27799999999999</v>
      </c>
      <c r="U335" s="112">
        <v>15.473000000000001</v>
      </c>
      <c r="V335" s="112">
        <v>892.57600000000002</v>
      </c>
    </row>
    <row r="336" spans="1:22" x14ac:dyDescent="0.2">
      <c r="A336" s="47" t="s">
        <v>75</v>
      </c>
      <c r="B336" s="112">
        <v>17.974</v>
      </c>
      <c r="C336" s="112">
        <v>84.460999999999999</v>
      </c>
      <c r="D336" s="112">
        <v>198.60599999999999</v>
      </c>
      <c r="E336" s="112">
        <v>167.887</v>
      </c>
      <c r="F336" s="112">
        <v>65.903999999999996</v>
      </c>
      <c r="G336" s="112">
        <v>0</v>
      </c>
      <c r="H336" s="122">
        <v>534.83399999999995</v>
      </c>
      <c r="I336" s="112">
        <v>15.185</v>
      </c>
      <c r="J336" s="112">
        <v>58.526000000000003</v>
      </c>
      <c r="K336" s="112">
        <v>104.004</v>
      </c>
      <c r="L336" s="112">
        <v>85.537999999999997</v>
      </c>
      <c r="M336" s="112">
        <v>42.277000000000001</v>
      </c>
      <c r="N336" s="112">
        <v>2.4630000000000001</v>
      </c>
      <c r="O336" s="122">
        <v>307.99200000000002</v>
      </c>
      <c r="P336" s="112">
        <v>33.158999999999999</v>
      </c>
      <c r="Q336" s="112">
        <v>142.98699999999999</v>
      </c>
      <c r="R336" s="112">
        <v>302.61</v>
      </c>
      <c r="S336" s="112">
        <v>253.42500000000001</v>
      </c>
      <c r="T336" s="112">
        <v>108.181</v>
      </c>
      <c r="U336" s="112">
        <v>2.4630000000000001</v>
      </c>
      <c r="V336" s="112">
        <v>842.82600000000002</v>
      </c>
    </row>
    <row r="337" spans="1:22" x14ac:dyDescent="0.2">
      <c r="A337" s="47" t="s">
        <v>76</v>
      </c>
      <c r="B337" s="112">
        <v>19.847000000000001</v>
      </c>
      <c r="C337" s="112">
        <v>89.123000000000005</v>
      </c>
      <c r="D337" s="112">
        <v>206.43199999999999</v>
      </c>
      <c r="E337" s="112">
        <v>179.989</v>
      </c>
      <c r="F337" s="112">
        <v>73.051000000000002</v>
      </c>
      <c r="G337" s="112">
        <v>0</v>
      </c>
      <c r="H337" s="122">
        <v>568.44399999999996</v>
      </c>
      <c r="I337" s="112">
        <v>16.681999999999999</v>
      </c>
      <c r="J337" s="112">
        <v>51.94</v>
      </c>
      <c r="K337" s="112">
        <v>112.93300000000001</v>
      </c>
      <c r="L337" s="112">
        <v>92.834999999999994</v>
      </c>
      <c r="M337" s="112">
        <v>53.253</v>
      </c>
      <c r="N337" s="112">
        <v>2.9180000000000001</v>
      </c>
      <c r="O337" s="122">
        <v>330.55900000000003</v>
      </c>
      <c r="P337" s="112">
        <v>36.528999999999996</v>
      </c>
      <c r="Q337" s="112">
        <v>141.06299999999999</v>
      </c>
      <c r="R337" s="112">
        <v>319.36500000000001</v>
      </c>
      <c r="S337" s="112">
        <v>272.82400000000001</v>
      </c>
      <c r="T337" s="112">
        <v>126.304</v>
      </c>
      <c r="U337" s="112">
        <v>2.9180000000000001</v>
      </c>
      <c r="V337" s="112">
        <v>899.00299999999993</v>
      </c>
    </row>
    <row r="338" spans="1:22" x14ac:dyDescent="0.2">
      <c r="A338" s="47" t="s">
        <v>77</v>
      </c>
      <c r="B338" s="112">
        <v>56.282000000000004</v>
      </c>
      <c r="C338" s="112">
        <v>258.32600000000002</v>
      </c>
      <c r="D338" s="112">
        <v>613.45100000000002</v>
      </c>
      <c r="E338" s="112">
        <v>501.38400000000001</v>
      </c>
      <c r="F338" s="112">
        <v>214.38599999999997</v>
      </c>
      <c r="G338" s="112">
        <v>12.81</v>
      </c>
      <c r="H338" s="122">
        <v>1656.6389999999999</v>
      </c>
      <c r="I338" s="112">
        <v>47.525999999999996</v>
      </c>
      <c r="J338" s="112">
        <v>169.94299999999998</v>
      </c>
      <c r="K338" s="112">
        <v>328.64699999999999</v>
      </c>
      <c r="L338" s="112">
        <v>280.23099999999999</v>
      </c>
      <c r="M338" s="112">
        <v>143.37700000000001</v>
      </c>
      <c r="N338" s="112">
        <v>8.0440000000000005</v>
      </c>
      <c r="O338" s="122">
        <v>977.76600000000008</v>
      </c>
      <c r="P338" s="112">
        <v>103.80799999999999</v>
      </c>
      <c r="Q338" s="112">
        <v>428.26900000000001</v>
      </c>
      <c r="R338" s="112">
        <v>942.09799999999996</v>
      </c>
      <c r="S338" s="112">
        <v>781.61500000000001</v>
      </c>
      <c r="T338" s="112">
        <v>357.76300000000003</v>
      </c>
      <c r="U338" s="112">
        <v>20.853999999999999</v>
      </c>
      <c r="V338" s="112">
        <v>2634.4049999999997</v>
      </c>
    </row>
    <row r="339" spans="1:22" x14ac:dyDescent="0.2">
      <c r="A339" s="47" t="s">
        <v>78</v>
      </c>
      <c r="B339" s="112">
        <v>17.821000000000002</v>
      </c>
      <c r="C339" s="112">
        <v>84.85</v>
      </c>
      <c r="D339" s="112">
        <v>197.37299999999999</v>
      </c>
      <c r="E339" s="112">
        <v>175.65100000000001</v>
      </c>
      <c r="F339" s="112">
        <v>69.14</v>
      </c>
      <c r="G339" s="112">
        <v>0</v>
      </c>
      <c r="H339" s="122">
        <v>544.83399999999995</v>
      </c>
      <c r="I339" s="112">
        <v>14.369</v>
      </c>
      <c r="J339" s="112">
        <v>55.183999999999997</v>
      </c>
      <c r="K339" s="112">
        <v>94.543999999999997</v>
      </c>
      <c r="L339" s="112">
        <v>79.981999999999999</v>
      </c>
      <c r="M339" s="112">
        <v>43.582999999999998</v>
      </c>
      <c r="N339" s="112">
        <v>2.34</v>
      </c>
      <c r="O339" s="122">
        <v>290.00099999999998</v>
      </c>
      <c r="P339" s="112">
        <v>32.19</v>
      </c>
      <c r="Q339" s="112">
        <v>140.03399999999999</v>
      </c>
      <c r="R339" s="112">
        <v>291.91699999999997</v>
      </c>
      <c r="S339" s="112">
        <v>255.63300000000001</v>
      </c>
      <c r="T339" s="112">
        <v>112.723</v>
      </c>
      <c r="U339" s="112">
        <v>2.34</v>
      </c>
      <c r="V339" s="112">
        <v>834.83499999999992</v>
      </c>
    </row>
    <row r="340" spans="1:22" x14ac:dyDescent="0.2">
      <c r="A340" s="47" t="s">
        <v>79</v>
      </c>
      <c r="B340" s="112">
        <v>17.152000000000001</v>
      </c>
      <c r="C340" s="112">
        <v>81.444000000000003</v>
      </c>
      <c r="D340" s="112">
        <v>204.54300000000001</v>
      </c>
      <c r="E340" s="112">
        <v>182.261</v>
      </c>
      <c r="F340" s="112">
        <v>71.462000000000003</v>
      </c>
      <c r="G340" s="112">
        <v>0</v>
      </c>
      <c r="H340" s="122">
        <v>556.85900000000004</v>
      </c>
      <c r="I340" s="112">
        <v>14.81</v>
      </c>
      <c r="J340" s="112">
        <v>55.561999999999998</v>
      </c>
      <c r="K340" s="112">
        <v>108.39</v>
      </c>
      <c r="L340" s="112">
        <v>97.287999999999997</v>
      </c>
      <c r="M340" s="112">
        <v>48.311999999999998</v>
      </c>
      <c r="N340" s="112">
        <v>3.0139999999999998</v>
      </c>
      <c r="O340" s="122">
        <v>327.37599999999998</v>
      </c>
      <c r="P340" s="112">
        <v>31.962000000000003</v>
      </c>
      <c r="Q340" s="112">
        <v>137.006</v>
      </c>
      <c r="R340" s="112">
        <v>312.93299999999999</v>
      </c>
      <c r="S340" s="112">
        <v>279.54899999999998</v>
      </c>
      <c r="T340" s="112">
        <v>119.774</v>
      </c>
      <c r="U340" s="112">
        <v>3.0139999999999998</v>
      </c>
      <c r="V340" s="112">
        <v>884.23500000000001</v>
      </c>
    </row>
    <row r="341" spans="1:22" x14ac:dyDescent="0.2">
      <c r="A341" s="47" t="s">
        <v>89</v>
      </c>
      <c r="B341" s="112">
        <v>19.466999999999999</v>
      </c>
      <c r="C341" s="112">
        <v>85.680999999999997</v>
      </c>
      <c r="D341" s="112">
        <v>206.94</v>
      </c>
      <c r="E341" s="112">
        <v>178.56700000000001</v>
      </c>
      <c r="F341" s="112">
        <v>80.156999999999996</v>
      </c>
      <c r="G341" s="112">
        <v>0</v>
      </c>
      <c r="H341" s="122">
        <v>570.81399999999996</v>
      </c>
      <c r="I341" s="112">
        <v>15.077</v>
      </c>
      <c r="J341" s="112">
        <v>57.331000000000003</v>
      </c>
      <c r="K341" s="112">
        <v>115.50700000000001</v>
      </c>
      <c r="L341" s="112">
        <v>99.028999999999996</v>
      </c>
      <c r="M341" s="112">
        <v>51.774999999999999</v>
      </c>
      <c r="N341" s="112">
        <v>2.5070000000000001</v>
      </c>
      <c r="O341" s="122">
        <v>341.22899999999998</v>
      </c>
      <c r="P341" s="112">
        <v>34.543999999999997</v>
      </c>
      <c r="Q341" s="112">
        <v>143.012</v>
      </c>
      <c r="R341" s="112">
        <v>322.447</v>
      </c>
      <c r="S341" s="112">
        <v>277.596</v>
      </c>
      <c r="T341" s="112">
        <v>131.93199999999999</v>
      </c>
      <c r="U341" s="112">
        <v>2.5070000000000001</v>
      </c>
      <c r="V341" s="112">
        <v>912.04300000000001</v>
      </c>
    </row>
    <row r="342" spans="1:22" x14ac:dyDescent="0.2">
      <c r="A342" s="47" t="s">
        <v>80</v>
      </c>
      <c r="B342" s="112">
        <v>54.44</v>
      </c>
      <c r="C342" s="112">
        <v>251.97499999999997</v>
      </c>
      <c r="D342" s="112">
        <v>608.85599999999999</v>
      </c>
      <c r="E342" s="112">
        <v>536.47900000000004</v>
      </c>
      <c r="F342" s="112">
        <v>220.75900000000001</v>
      </c>
      <c r="G342" s="112">
        <v>0</v>
      </c>
      <c r="H342" s="122">
        <v>1672.5070000000001</v>
      </c>
      <c r="I342" s="112">
        <v>44.256</v>
      </c>
      <c r="J342" s="112">
        <v>168.077</v>
      </c>
      <c r="K342" s="112">
        <v>318.44100000000003</v>
      </c>
      <c r="L342" s="112">
        <v>276.29899999999998</v>
      </c>
      <c r="M342" s="112">
        <v>143.66999999999999</v>
      </c>
      <c r="N342" s="112">
        <v>7.8609999999999989</v>
      </c>
      <c r="O342" s="122">
        <v>958.60599999999999</v>
      </c>
      <c r="P342" s="112">
        <v>98.695999999999998</v>
      </c>
      <c r="Q342" s="112">
        <v>420.05199999999996</v>
      </c>
      <c r="R342" s="112">
        <v>927.29699999999991</v>
      </c>
      <c r="S342" s="112">
        <v>812.77800000000002</v>
      </c>
      <c r="T342" s="112">
        <v>364.42899999999997</v>
      </c>
      <c r="U342" s="112">
        <v>7.8609999999999989</v>
      </c>
      <c r="V342" s="112">
        <v>2631.1129999999998</v>
      </c>
    </row>
    <row r="343" spans="1:22" x14ac:dyDescent="0.2">
      <c r="A343" s="47" t="s">
        <v>90</v>
      </c>
      <c r="B343" s="112">
        <v>18.184999999999999</v>
      </c>
      <c r="C343" s="112">
        <v>80.647999999999996</v>
      </c>
      <c r="D343" s="112">
        <v>200.995</v>
      </c>
      <c r="E343" s="112">
        <v>169.976</v>
      </c>
      <c r="F343" s="112">
        <v>66.950999999999993</v>
      </c>
      <c r="G343" s="112">
        <v>0</v>
      </c>
      <c r="H343" s="122">
        <v>536.75300000000004</v>
      </c>
      <c r="I343" s="112">
        <v>15.057</v>
      </c>
      <c r="J343" s="112">
        <v>52.372999999999998</v>
      </c>
      <c r="K343" s="112">
        <v>112.748</v>
      </c>
      <c r="L343" s="112">
        <v>93.587999999999994</v>
      </c>
      <c r="M343" s="112">
        <v>50.497</v>
      </c>
      <c r="N343" s="112">
        <v>2.798</v>
      </c>
      <c r="O343" s="122">
        <v>327.06200000000001</v>
      </c>
      <c r="P343" s="112">
        <v>33.241999999999997</v>
      </c>
      <c r="Q343" s="112">
        <v>133.02199999999999</v>
      </c>
      <c r="R343" s="112">
        <v>313.74200000000002</v>
      </c>
      <c r="S343" s="112">
        <v>263.56400000000002</v>
      </c>
      <c r="T343" s="112">
        <v>117.447</v>
      </c>
      <c r="U343" s="112">
        <v>2.798</v>
      </c>
      <c r="V343" s="112">
        <v>863.81500000000005</v>
      </c>
    </row>
    <row r="344" spans="1:22" x14ac:dyDescent="0.2">
      <c r="A344" s="47" t="s">
        <v>81</v>
      </c>
      <c r="B344" s="112">
        <v>20.298999999999999</v>
      </c>
      <c r="C344" s="112">
        <v>90.417000000000002</v>
      </c>
      <c r="D344" s="112">
        <v>225.61600000000001</v>
      </c>
      <c r="E344" s="112">
        <v>186.12700000000001</v>
      </c>
      <c r="F344" s="112">
        <v>74.290000000000006</v>
      </c>
      <c r="G344" s="112">
        <v>0</v>
      </c>
      <c r="H344" s="122">
        <v>596.74699999999996</v>
      </c>
      <c r="I344" s="112">
        <v>15.019</v>
      </c>
      <c r="J344" s="112">
        <v>56.942999999999998</v>
      </c>
      <c r="K344" s="112">
        <v>133.87</v>
      </c>
      <c r="L344" s="112">
        <v>106.072</v>
      </c>
      <c r="M344" s="112">
        <v>60.308999999999997</v>
      </c>
      <c r="N344" s="112">
        <v>2.738</v>
      </c>
      <c r="O344" s="122">
        <v>374.95</v>
      </c>
      <c r="P344" s="112">
        <v>35.317999999999998</v>
      </c>
      <c r="Q344" s="112">
        <v>147.36000000000001</v>
      </c>
      <c r="R344" s="112">
        <v>359.48599999999999</v>
      </c>
      <c r="S344" s="112">
        <v>292.19900000000001</v>
      </c>
      <c r="T344" s="112">
        <v>134.59899999999999</v>
      </c>
      <c r="U344" s="112">
        <v>2.738</v>
      </c>
      <c r="V344" s="112">
        <v>971.69699999999989</v>
      </c>
    </row>
    <row r="345" spans="1:22" x14ac:dyDescent="0.2">
      <c r="A345" s="47" t="s">
        <v>82</v>
      </c>
      <c r="B345" s="112">
        <v>19.28</v>
      </c>
      <c r="C345" s="112">
        <v>84.596999999999994</v>
      </c>
      <c r="D345" s="112">
        <v>213.154</v>
      </c>
      <c r="E345" s="112">
        <v>193.86600000000001</v>
      </c>
      <c r="F345" s="112">
        <v>63.423000000000002</v>
      </c>
      <c r="G345" s="112">
        <v>0</v>
      </c>
      <c r="H345" s="122">
        <v>574.31799999999998</v>
      </c>
      <c r="I345" s="112">
        <v>16.620999999999999</v>
      </c>
      <c r="J345" s="112">
        <v>59.767000000000003</v>
      </c>
      <c r="K345" s="112">
        <v>121.63800000000001</v>
      </c>
      <c r="L345" s="112">
        <v>105.756</v>
      </c>
      <c r="M345" s="112">
        <v>54.734000000000002</v>
      </c>
      <c r="N345" s="112">
        <v>2.8620000000000001</v>
      </c>
      <c r="O345" s="122">
        <v>361.37900000000002</v>
      </c>
      <c r="P345" s="112">
        <v>35.900999999999996</v>
      </c>
      <c r="Q345" s="112">
        <v>144.364</v>
      </c>
      <c r="R345" s="112">
        <v>334.79200000000003</v>
      </c>
      <c r="S345" s="112">
        <v>299.62200000000001</v>
      </c>
      <c r="T345" s="112">
        <v>118.15700000000001</v>
      </c>
      <c r="U345" s="112">
        <v>2.8620000000000001</v>
      </c>
      <c r="V345" s="112">
        <v>935.697</v>
      </c>
    </row>
    <row r="346" spans="1:22" x14ac:dyDescent="0.2">
      <c r="A346" s="47" t="s">
        <v>83</v>
      </c>
      <c r="B346" s="112">
        <v>57.763999999999996</v>
      </c>
      <c r="C346" s="112">
        <v>255.66199999999998</v>
      </c>
      <c r="D346" s="112">
        <v>639.76499999999999</v>
      </c>
      <c r="E346" s="112">
        <v>549.96900000000005</v>
      </c>
      <c r="F346" s="112">
        <v>204.66399999999999</v>
      </c>
      <c r="G346" s="112">
        <v>0</v>
      </c>
      <c r="H346" s="122">
        <v>1707.818</v>
      </c>
      <c r="I346" s="112">
        <v>46.697000000000003</v>
      </c>
      <c r="J346" s="112">
        <v>169.083</v>
      </c>
      <c r="K346" s="112">
        <v>368.25599999999997</v>
      </c>
      <c r="L346" s="112">
        <v>305.416</v>
      </c>
      <c r="M346" s="112">
        <v>165.54</v>
      </c>
      <c r="N346" s="112">
        <v>8.3979999999999997</v>
      </c>
      <c r="O346" s="122">
        <v>1063.3910000000001</v>
      </c>
      <c r="P346" s="112">
        <v>104.461</v>
      </c>
      <c r="Q346" s="112">
        <v>424.74599999999998</v>
      </c>
      <c r="R346" s="112">
        <v>1008.0200000000001</v>
      </c>
      <c r="S346" s="112">
        <v>855.38499999999999</v>
      </c>
      <c r="T346" s="112">
        <v>370.20299999999997</v>
      </c>
      <c r="U346" s="112">
        <v>8.3979999999999997</v>
      </c>
      <c r="V346" s="112">
        <v>2771.2089999999998</v>
      </c>
    </row>
    <row r="347" spans="1:22" x14ac:dyDescent="0.2">
      <c r="A347" s="47" t="s">
        <v>85</v>
      </c>
      <c r="B347" s="112">
        <v>20.92</v>
      </c>
      <c r="C347" s="112">
        <v>87.28</v>
      </c>
      <c r="D347" s="112">
        <v>202.16300000000001</v>
      </c>
      <c r="E347" s="112">
        <v>195.84800000000001</v>
      </c>
      <c r="F347" s="112">
        <v>69.093000000000004</v>
      </c>
      <c r="G347" s="112">
        <v>0</v>
      </c>
      <c r="H347" s="122">
        <v>575.30499999999995</v>
      </c>
      <c r="I347" s="112">
        <v>16.7</v>
      </c>
      <c r="J347" s="112">
        <v>63.698999999999998</v>
      </c>
      <c r="K347" s="112">
        <v>115.282</v>
      </c>
      <c r="L347" s="112">
        <v>117.51600000000001</v>
      </c>
      <c r="M347" s="112">
        <v>57.658999999999999</v>
      </c>
      <c r="N347" s="112">
        <v>2.637</v>
      </c>
      <c r="O347" s="122">
        <v>373.49299999999999</v>
      </c>
      <c r="P347" s="112">
        <v>37.619999999999997</v>
      </c>
      <c r="Q347" s="112">
        <v>150.97900000000001</v>
      </c>
      <c r="R347" s="112">
        <v>317.44499999999999</v>
      </c>
      <c r="S347" s="112">
        <v>313.36399999999998</v>
      </c>
      <c r="T347" s="112">
        <v>126.752</v>
      </c>
      <c r="U347" s="112">
        <v>2.637</v>
      </c>
      <c r="V347" s="112">
        <v>948.798</v>
      </c>
    </row>
    <row r="348" spans="1:22" x14ac:dyDescent="0.2">
      <c r="A348" s="47" t="s">
        <v>86</v>
      </c>
      <c r="B348" s="112">
        <v>19.239000000000001</v>
      </c>
      <c r="C348" s="112">
        <v>87.54</v>
      </c>
      <c r="D348" s="112">
        <v>191.45</v>
      </c>
      <c r="E348" s="112">
        <v>174.58099999999999</v>
      </c>
      <c r="F348" s="112">
        <v>65.12</v>
      </c>
      <c r="G348" s="112">
        <v>0</v>
      </c>
      <c r="H348" s="122">
        <v>537.93200000000002</v>
      </c>
      <c r="I348" s="112">
        <v>17.439</v>
      </c>
      <c r="J348" s="112">
        <v>62.164000000000001</v>
      </c>
      <c r="K348" s="112">
        <v>119.274</v>
      </c>
      <c r="L348" s="112">
        <v>121.995</v>
      </c>
      <c r="M348" s="112">
        <v>58.436999999999998</v>
      </c>
      <c r="N348" s="112">
        <v>2.585</v>
      </c>
      <c r="O348" s="122">
        <v>381.892</v>
      </c>
      <c r="P348" s="112">
        <v>36.677999999999997</v>
      </c>
      <c r="Q348" s="112">
        <v>149.70400000000001</v>
      </c>
      <c r="R348" s="112">
        <v>310.72399999999999</v>
      </c>
      <c r="S348" s="112">
        <v>296.57600000000002</v>
      </c>
      <c r="T348" s="112">
        <v>123.557</v>
      </c>
      <c r="U348" s="112">
        <v>2.585</v>
      </c>
      <c r="V348" s="112">
        <v>919.82400000000007</v>
      </c>
    </row>
    <row r="349" spans="1:22" x14ac:dyDescent="0.2">
      <c r="A349" s="47" t="s">
        <v>87</v>
      </c>
      <c r="B349" s="112">
        <v>16.709</v>
      </c>
      <c r="C349" s="112">
        <v>71.064999999999998</v>
      </c>
      <c r="D349" s="112">
        <v>169.565</v>
      </c>
      <c r="E349" s="112">
        <v>155.59899999999999</v>
      </c>
      <c r="F349" s="112">
        <v>61.784999999999997</v>
      </c>
      <c r="G349" s="112">
        <v>0</v>
      </c>
      <c r="H349" s="122">
        <v>474.71899999999999</v>
      </c>
      <c r="I349" s="112">
        <v>12.967000000000001</v>
      </c>
      <c r="J349" s="112">
        <v>53.448999999999998</v>
      </c>
      <c r="K349" s="112">
        <v>108.685</v>
      </c>
      <c r="L349" s="112">
        <v>109.39</v>
      </c>
      <c r="M349" s="112">
        <v>50.9</v>
      </c>
      <c r="N349" s="112">
        <v>2.3650000000000002</v>
      </c>
      <c r="O349" s="122">
        <v>337.75700000000001</v>
      </c>
      <c r="P349" s="112">
        <v>29.676000000000002</v>
      </c>
      <c r="Q349" s="112">
        <v>124.514</v>
      </c>
      <c r="R349" s="112">
        <v>278.25</v>
      </c>
      <c r="S349" s="112">
        <v>264.98899999999998</v>
      </c>
      <c r="T349" s="112">
        <v>112.685</v>
      </c>
      <c r="U349" s="112">
        <v>2.3650000000000002</v>
      </c>
      <c r="V349" s="112">
        <v>812.476</v>
      </c>
    </row>
    <row r="350" spans="1:22" x14ac:dyDescent="0.2">
      <c r="A350" s="47" t="s">
        <v>84</v>
      </c>
      <c r="B350" s="112">
        <v>56.868000000000009</v>
      </c>
      <c r="C350" s="112">
        <v>245.88499999999999</v>
      </c>
      <c r="D350" s="112">
        <v>563.178</v>
      </c>
      <c r="E350" s="112">
        <v>526.02800000000002</v>
      </c>
      <c r="F350" s="112">
        <v>195.99800000000002</v>
      </c>
      <c r="G350" s="112">
        <v>0</v>
      </c>
      <c r="H350" s="122">
        <v>1587.9560000000001</v>
      </c>
      <c r="I350" s="112">
        <v>47.105999999999995</v>
      </c>
      <c r="J350" s="112">
        <v>179.31200000000001</v>
      </c>
      <c r="K350" s="112">
        <v>343.24099999999999</v>
      </c>
      <c r="L350" s="112">
        <v>348.90100000000001</v>
      </c>
      <c r="M350" s="112">
        <v>166.99600000000001</v>
      </c>
      <c r="N350" s="112">
        <v>7.5869999999999997</v>
      </c>
      <c r="O350" s="122">
        <v>1093.1420000000001</v>
      </c>
      <c r="P350" s="112">
        <v>103.974</v>
      </c>
      <c r="Q350" s="112">
        <v>425.197</v>
      </c>
      <c r="R350" s="112">
        <v>906.41899999999998</v>
      </c>
      <c r="S350" s="112">
        <v>874.92900000000009</v>
      </c>
      <c r="T350" s="112">
        <v>362.99400000000003</v>
      </c>
      <c r="U350" s="112">
        <v>7.5869999999999997</v>
      </c>
      <c r="V350" s="112">
        <v>2681.098</v>
      </c>
    </row>
    <row r="351" spans="1:22" x14ac:dyDescent="0.2">
      <c r="A351" s="47"/>
      <c r="B351" s="112"/>
      <c r="C351" s="112"/>
      <c r="D351" s="112"/>
      <c r="E351" s="112"/>
      <c r="F351" s="112"/>
      <c r="G351" s="112"/>
      <c r="H351" s="122"/>
      <c r="I351" s="112"/>
      <c r="J351" s="112"/>
      <c r="K351" s="112"/>
      <c r="L351" s="112"/>
      <c r="M351" s="112"/>
      <c r="N351" s="112"/>
      <c r="O351" s="122"/>
      <c r="P351" s="112"/>
      <c r="Q351" s="112"/>
      <c r="R351" s="112"/>
      <c r="S351" s="112"/>
      <c r="T351" s="112"/>
      <c r="U351" s="112"/>
      <c r="V351" s="112"/>
    </row>
    <row r="352" spans="1:22" x14ac:dyDescent="0.2">
      <c r="A352" s="114">
        <v>2017</v>
      </c>
      <c r="B352" s="112"/>
      <c r="C352" s="112"/>
      <c r="D352" s="112"/>
      <c r="E352" s="112"/>
      <c r="F352" s="112"/>
      <c r="G352" s="112"/>
      <c r="H352" s="122"/>
      <c r="I352" s="112"/>
      <c r="J352" s="112"/>
      <c r="K352" s="112"/>
      <c r="L352" s="112"/>
      <c r="M352" s="112"/>
      <c r="N352" s="112"/>
      <c r="O352" s="122"/>
      <c r="P352" s="112"/>
      <c r="Q352" s="112"/>
      <c r="R352" s="112"/>
      <c r="S352" s="112"/>
      <c r="T352" s="112"/>
      <c r="U352" s="112"/>
      <c r="V352" s="112"/>
    </row>
    <row r="353" spans="1:22" x14ac:dyDescent="0.2">
      <c r="A353" s="47" t="s">
        <v>74</v>
      </c>
      <c r="B353" s="112">
        <v>18.126999999999999</v>
      </c>
      <c r="C353" s="112">
        <v>77.718000000000004</v>
      </c>
      <c r="D353" s="112">
        <v>201.946</v>
      </c>
      <c r="E353" s="112">
        <v>180.452</v>
      </c>
      <c r="F353" s="112">
        <v>66.040999999999997</v>
      </c>
      <c r="G353" s="112">
        <v>0</v>
      </c>
      <c r="H353" s="122">
        <v>544.28300000000002</v>
      </c>
      <c r="I353" s="112">
        <v>12.441000000000001</v>
      </c>
      <c r="J353" s="112">
        <v>48.063000000000002</v>
      </c>
      <c r="K353" s="112">
        <v>102.405</v>
      </c>
      <c r="L353" s="112">
        <v>91.808000000000007</v>
      </c>
      <c r="M353" s="112">
        <v>45.457999999999998</v>
      </c>
      <c r="N353" s="112">
        <v>2.5230000000000001</v>
      </c>
      <c r="O353" s="122">
        <v>302.69600000000003</v>
      </c>
      <c r="P353" s="112">
        <v>30.567999999999998</v>
      </c>
      <c r="Q353" s="112">
        <v>125.78100000000001</v>
      </c>
      <c r="R353" s="112">
        <v>304.351</v>
      </c>
      <c r="S353" s="112">
        <v>272.26</v>
      </c>
      <c r="T353" s="112">
        <v>111.499</v>
      </c>
      <c r="U353" s="112">
        <v>2.5230000000000001</v>
      </c>
      <c r="V353" s="112">
        <v>846.97900000000004</v>
      </c>
    </row>
    <row r="354" spans="1:22" x14ac:dyDescent="0.2">
      <c r="A354" s="47" t="s">
        <v>75</v>
      </c>
      <c r="B354" s="112">
        <v>16.998000000000001</v>
      </c>
      <c r="C354" s="112">
        <v>76.844999999999999</v>
      </c>
      <c r="D354" s="112">
        <v>186.155</v>
      </c>
      <c r="E354" s="112">
        <v>171.03700000000001</v>
      </c>
      <c r="F354" s="112">
        <v>62.323999999999998</v>
      </c>
      <c r="G354" s="112">
        <v>0</v>
      </c>
      <c r="H354" s="122">
        <v>513.36300000000006</v>
      </c>
      <c r="I354" s="112">
        <v>11.598000000000001</v>
      </c>
      <c r="J354" s="112">
        <v>49.552999999999997</v>
      </c>
      <c r="K354" s="112">
        <v>93.349000000000004</v>
      </c>
      <c r="L354" s="112">
        <v>80.224999999999994</v>
      </c>
      <c r="M354" s="112">
        <v>41.526000000000003</v>
      </c>
      <c r="N354" s="112">
        <v>2.2080000000000002</v>
      </c>
      <c r="O354" s="122">
        <v>278.459</v>
      </c>
      <c r="P354" s="112">
        <v>28.596000000000004</v>
      </c>
      <c r="Q354" s="112">
        <v>126.398</v>
      </c>
      <c r="R354" s="112">
        <v>279.50400000000002</v>
      </c>
      <c r="S354" s="112">
        <v>251.262</v>
      </c>
      <c r="T354" s="112">
        <v>103.85</v>
      </c>
      <c r="U354" s="112">
        <v>2.2080000000000002</v>
      </c>
      <c r="V354" s="112">
        <v>791.82200000000012</v>
      </c>
    </row>
    <row r="355" spans="1:22" x14ac:dyDescent="0.2">
      <c r="A355" s="47" t="s">
        <v>76</v>
      </c>
      <c r="B355" s="112">
        <v>20.39</v>
      </c>
      <c r="C355" s="112">
        <v>90.215000000000003</v>
      </c>
      <c r="D355" s="112">
        <v>206.86</v>
      </c>
      <c r="E355" s="112">
        <v>191.47300000000001</v>
      </c>
      <c r="F355" s="112">
        <v>75.021000000000001</v>
      </c>
      <c r="G355" s="112">
        <v>0</v>
      </c>
      <c r="H355" s="122">
        <v>583.96</v>
      </c>
      <c r="I355" s="112">
        <v>16.489000000000001</v>
      </c>
      <c r="J355" s="112">
        <v>57.37</v>
      </c>
      <c r="K355" s="112">
        <v>105.926</v>
      </c>
      <c r="L355" s="112">
        <v>115.422</v>
      </c>
      <c r="M355" s="112">
        <v>46.212000000000003</v>
      </c>
      <c r="N355" s="112">
        <v>2.8109999999999999</v>
      </c>
      <c r="O355" s="122">
        <v>344.23</v>
      </c>
      <c r="P355" s="112">
        <v>36.879000000000005</v>
      </c>
      <c r="Q355" s="112">
        <v>147.58500000000001</v>
      </c>
      <c r="R355" s="112">
        <v>312.786</v>
      </c>
      <c r="S355" s="112">
        <v>306.89499999999998</v>
      </c>
      <c r="T355" s="112">
        <v>121.233</v>
      </c>
      <c r="U355" s="112">
        <v>2.8109999999999999</v>
      </c>
      <c r="V355" s="112">
        <v>928.19</v>
      </c>
    </row>
    <row r="356" spans="1:22" x14ac:dyDescent="0.2">
      <c r="A356" s="47" t="s">
        <v>77</v>
      </c>
      <c r="B356" s="112">
        <v>55.515000000000001</v>
      </c>
      <c r="C356" s="112">
        <v>244.77799999999999</v>
      </c>
      <c r="D356" s="112">
        <v>594.96100000000001</v>
      </c>
      <c r="E356" s="112">
        <v>542.96199999999999</v>
      </c>
      <c r="F356" s="112">
        <v>203.38600000000002</v>
      </c>
      <c r="G356" s="112">
        <v>0</v>
      </c>
      <c r="H356" s="122">
        <v>1641.6060000000002</v>
      </c>
      <c r="I356" s="112">
        <v>40.528000000000006</v>
      </c>
      <c r="J356" s="112">
        <v>154.98599999999999</v>
      </c>
      <c r="K356" s="112">
        <v>301.68</v>
      </c>
      <c r="L356" s="112">
        <v>287.45500000000004</v>
      </c>
      <c r="M356" s="112">
        <v>133.19600000000003</v>
      </c>
      <c r="N356" s="112">
        <v>7.5419999999999998</v>
      </c>
      <c r="O356" s="122">
        <v>925.38499999999999</v>
      </c>
      <c r="P356" s="112">
        <v>96.043000000000006</v>
      </c>
      <c r="Q356" s="112">
        <v>399.76400000000001</v>
      </c>
      <c r="R356" s="112">
        <v>896.64100000000008</v>
      </c>
      <c r="S356" s="112">
        <v>830.41699999999992</v>
      </c>
      <c r="T356" s="112">
        <v>336.58199999999999</v>
      </c>
      <c r="U356" s="112">
        <v>7.5419999999999998</v>
      </c>
      <c r="V356" s="112">
        <v>2566.991</v>
      </c>
    </row>
    <row r="357" spans="1:22" x14ac:dyDescent="0.2">
      <c r="A357" s="47" t="s">
        <v>78</v>
      </c>
      <c r="B357" s="112">
        <v>17.369</v>
      </c>
      <c r="C357" s="112">
        <v>77.872</v>
      </c>
      <c r="D357" s="112">
        <v>190.268</v>
      </c>
      <c r="E357" s="112">
        <v>173.47399999999999</v>
      </c>
      <c r="F357" s="112">
        <v>67.506</v>
      </c>
      <c r="G357" s="112">
        <v>0</v>
      </c>
      <c r="H357" s="122">
        <v>526.48699999999997</v>
      </c>
      <c r="I357" s="112">
        <v>14.51</v>
      </c>
      <c r="J357" s="112">
        <v>52.369</v>
      </c>
      <c r="K357" s="112">
        <v>102.506</v>
      </c>
      <c r="L357" s="112">
        <v>105.334</v>
      </c>
      <c r="M357" s="112">
        <v>50.719000000000001</v>
      </c>
      <c r="N357" s="112">
        <v>2.4470000000000001</v>
      </c>
      <c r="O357" s="122">
        <v>327.88400000000001</v>
      </c>
      <c r="P357" s="112">
        <v>31.878999999999998</v>
      </c>
      <c r="Q357" s="112">
        <v>130.24099999999999</v>
      </c>
      <c r="R357" s="112">
        <v>292.774</v>
      </c>
      <c r="S357" s="112">
        <v>278.80799999999999</v>
      </c>
      <c r="T357" s="112">
        <v>118.22499999999999</v>
      </c>
      <c r="U357" s="112">
        <v>2.4470000000000001</v>
      </c>
      <c r="V357" s="112">
        <v>854.37099999999998</v>
      </c>
    </row>
    <row r="358" spans="1:22" x14ac:dyDescent="0.2">
      <c r="A358" s="47" t="s">
        <v>79</v>
      </c>
      <c r="B358" s="112">
        <v>19.600000000000001</v>
      </c>
      <c r="C358" s="112">
        <v>83.492000000000004</v>
      </c>
      <c r="D358" s="112">
        <v>211.16499999999999</v>
      </c>
      <c r="E358" s="112">
        <v>196.28100000000001</v>
      </c>
      <c r="F358" s="112">
        <v>76.873999999999995</v>
      </c>
      <c r="G358" s="112">
        <v>0</v>
      </c>
      <c r="H358" s="122">
        <v>587.41099999999994</v>
      </c>
      <c r="I358" s="112">
        <v>15.138999999999999</v>
      </c>
      <c r="J358" s="112">
        <v>60.718000000000004</v>
      </c>
      <c r="K358" s="112">
        <v>119.78400000000001</v>
      </c>
      <c r="L358" s="112">
        <v>109.009</v>
      </c>
      <c r="M358" s="112">
        <v>52.253999999999998</v>
      </c>
      <c r="N358" s="112">
        <v>2.4569999999999999</v>
      </c>
      <c r="O358" s="122">
        <v>359.36099999999999</v>
      </c>
      <c r="P358" s="112">
        <v>34.739000000000004</v>
      </c>
      <c r="Q358" s="112">
        <v>144.21</v>
      </c>
      <c r="R358" s="112">
        <v>330.94900000000001</v>
      </c>
      <c r="S358" s="112">
        <v>305.29000000000002</v>
      </c>
      <c r="T358" s="112">
        <v>129.12799999999999</v>
      </c>
      <c r="U358" s="112">
        <v>2.4569999999999999</v>
      </c>
      <c r="V358" s="112">
        <v>946.77199999999993</v>
      </c>
    </row>
    <row r="359" spans="1:22" x14ac:dyDescent="0.2">
      <c r="A359" s="47" t="s">
        <v>89</v>
      </c>
      <c r="B359" s="112">
        <v>20.009</v>
      </c>
      <c r="C359" s="112">
        <v>84.003</v>
      </c>
      <c r="D359" s="112">
        <v>195.214</v>
      </c>
      <c r="E359" s="112">
        <v>180.346</v>
      </c>
      <c r="F359" s="112">
        <v>79.070999999999998</v>
      </c>
      <c r="G359" s="112">
        <v>0</v>
      </c>
      <c r="H359" s="122">
        <v>558.64400000000001</v>
      </c>
      <c r="I359" s="112">
        <v>13.207000000000001</v>
      </c>
      <c r="J359" s="112">
        <v>51.460999999999999</v>
      </c>
      <c r="K359" s="112">
        <v>121.60899999999999</v>
      </c>
      <c r="L359" s="112">
        <v>113.503</v>
      </c>
      <c r="M359" s="112">
        <v>52.188000000000002</v>
      </c>
      <c r="N359" s="112">
        <v>2.5640000000000001</v>
      </c>
      <c r="O359" s="122">
        <v>354.53300000000002</v>
      </c>
      <c r="P359" s="112">
        <v>33.216000000000001</v>
      </c>
      <c r="Q359" s="112">
        <v>135.464</v>
      </c>
      <c r="R359" s="112">
        <v>316.82299999999998</v>
      </c>
      <c r="S359" s="112">
        <v>293.84899999999999</v>
      </c>
      <c r="T359" s="112">
        <v>131.25900000000001</v>
      </c>
      <c r="U359" s="112">
        <v>2.5640000000000001</v>
      </c>
      <c r="V359" s="112">
        <v>913.17700000000002</v>
      </c>
    </row>
    <row r="360" spans="1:22" x14ac:dyDescent="0.2">
      <c r="A360" s="47" t="s">
        <v>80</v>
      </c>
      <c r="B360" s="112">
        <v>56.978000000000002</v>
      </c>
      <c r="C360" s="112">
        <v>245.36700000000002</v>
      </c>
      <c r="D360" s="112">
        <v>596.64699999999993</v>
      </c>
      <c r="E360" s="112">
        <v>550.101</v>
      </c>
      <c r="F360" s="112">
        <v>223.45099999999999</v>
      </c>
      <c r="G360" s="112">
        <v>0</v>
      </c>
      <c r="H360" s="122">
        <v>1672.5419999999999</v>
      </c>
      <c r="I360" s="112">
        <v>42.856000000000002</v>
      </c>
      <c r="J360" s="112">
        <v>164.548</v>
      </c>
      <c r="K360" s="112">
        <v>343.899</v>
      </c>
      <c r="L360" s="112">
        <v>327.846</v>
      </c>
      <c r="M360" s="112">
        <v>155.161</v>
      </c>
      <c r="N360" s="112">
        <v>7.468</v>
      </c>
      <c r="O360" s="122">
        <v>1041.778</v>
      </c>
      <c r="P360" s="112">
        <v>99.834000000000003</v>
      </c>
      <c r="Q360" s="112">
        <v>409.91500000000002</v>
      </c>
      <c r="R360" s="112">
        <v>940.54599999999994</v>
      </c>
      <c r="S360" s="112">
        <v>877.94699999999989</v>
      </c>
      <c r="T360" s="112">
        <v>378.61199999999997</v>
      </c>
      <c r="U360" s="112">
        <v>7.468</v>
      </c>
      <c r="V360" s="112">
        <v>2714.32</v>
      </c>
    </row>
    <row r="361" spans="1:22" x14ac:dyDescent="0.2">
      <c r="A361" s="47" t="s">
        <v>90</v>
      </c>
      <c r="B361" s="112">
        <v>17.875</v>
      </c>
      <c r="C361" s="112">
        <v>80.956999999999994</v>
      </c>
      <c r="D361" s="112">
        <v>206.06399999999999</v>
      </c>
      <c r="E361" s="112">
        <v>165.315</v>
      </c>
      <c r="F361" s="112">
        <v>73.507999999999996</v>
      </c>
      <c r="G361" s="112">
        <v>0</v>
      </c>
      <c r="H361" s="122">
        <v>543.71900000000005</v>
      </c>
      <c r="I361" s="112">
        <v>12.79</v>
      </c>
      <c r="J361" s="112">
        <v>55.682000000000002</v>
      </c>
      <c r="K361" s="112">
        <v>114.249</v>
      </c>
      <c r="L361" s="112">
        <v>108.265</v>
      </c>
      <c r="M361" s="112">
        <v>47.869</v>
      </c>
      <c r="N361" s="112">
        <v>2.657</v>
      </c>
      <c r="O361" s="122">
        <v>341.51100000000002</v>
      </c>
      <c r="P361" s="112">
        <v>30.664999999999999</v>
      </c>
      <c r="Q361" s="112">
        <v>136.63900000000001</v>
      </c>
      <c r="R361" s="112">
        <v>320.31299999999999</v>
      </c>
      <c r="S361" s="112">
        <v>273.58</v>
      </c>
      <c r="T361" s="112">
        <v>121.377</v>
      </c>
      <c r="U361" s="112">
        <v>2.657</v>
      </c>
      <c r="V361" s="112">
        <v>885.23</v>
      </c>
    </row>
    <row r="362" spans="1:22" x14ac:dyDescent="0.2">
      <c r="A362" s="47" t="s">
        <v>81</v>
      </c>
      <c r="B362" s="112">
        <v>20.805</v>
      </c>
      <c r="C362" s="112">
        <v>91.606999999999999</v>
      </c>
      <c r="D362" s="112">
        <v>236.38800000000001</v>
      </c>
      <c r="E362" s="112">
        <v>178.863</v>
      </c>
      <c r="F362" s="112">
        <v>81.507000000000005</v>
      </c>
      <c r="G362" s="112">
        <v>0</v>
      </c>
      <c r="H362" s="122">
        <v>609.16999999999996</v>
      </c>
      <c r="I362" s="112">
        <v>16.184999999999999</v>
      </c>
      <c r="J362" s="112">
        <v>59.332000000000001</v>
      </c>
      <c r="K362" s="112">
        <v>125.31399999999999</v>
      </c>
      <c r="L362" s="112">
        <v>126.131</v>
      </c>
      <c r="M362" s="112">
        <v>55.344000000000001</v>
      </c>
      <c r="N362" s="112">
        <v>2.4369999999999998</v>
      </c>
      <c r="O362" s="122">
        <v>384.745</v>
      </c>
      <c r="P362" s="112">
        <v>36.989999999999995</v>
      </c>
      <c r="Q362" s="112">
        <v>150.93899999999999</v>
      </c>
      <c r="R362" s="112">
        <v>361.702</v>
      </c>
      <c r="S362" s="112">
        <v>304.99400000000003</v>
      </c>
      <c r="T362" s="112">
        <v>136.851</v>
      </c>
      <c r="U362" s="112">
        <v>2.4369999999999998</v>
      </c>
      <c r="V362" s="112">
        <v>993.91499999999996</v>
      </c>
    </row>
    <row r="363" spans="1:22" x14ac:dyDescent="0.2">
      <c r="A363" s="47" t="s">
        <v>82</v>
      </c>
      <c r="B363" s="112">
        <v>19.198</v>
      </c>
      <c r="C363" s="112">
        <v>91.436999999999998</v>
      </c>
      <c r="D363" s="112">
        <v>216.47900000000001</v>
      </c>
      <c r="E363" s="112">
        <v>160.52199999999999</v>
      </c>
      <c r="F363" s="112">
        <v>83.736999999999995</v>
      </c>
      <c r="G363" s="112">
        <v>0</v>
      </c>
      <c r="H363" s="122">
        <v>571.37300000000005</v>
      </c>
      <c r="I363" s="112">
        <v>15.842000000000001</v>
      </c>
      <c r="J363" s="112">
        <v>53.841999999999999</v>
      </c>
      <c r="K363" s="112">
        <v>99.078999999999994</v>
      </c>
      <c r="L363" s="112">
        <v>112.369</v>
      </c>
      <c r="M363" s="112">
        <v>35.515999999999998</v>
      </c>
      <c r="N363" s="112">
        <v>2.5019999999999998</v>
      </c>
      <c r="O363" s="122">
        <v>319.14699999999999</v>
      </c>
      <c r="P363" s="112">
        <v>35.04</v>
      </c>
      <c r="Q363" s="112">
        <v>145.279</v>
      </c>
      <c r="R363" s="112">
        <v>315.55799999999999</v>
      </c>
      <c r="S363" s="112">
        <v>272.89099999999996</v>
      </c>
      <c r="T363" s="112">
        <v>119.25299999999999</v>
      </c>
      <c r="U363" s="112">
        <v>2.5019999999999998</v>
      </c>
      <c r="V363" s="112">
        <v>890.52</v>
      </c>
    </row>
    <row r="364" spans="1:22" x14ac:dyDescent="0.2">
      <c r="A364" s="47" t="s">
        <v>83</v>
      </c>
      <c r="B364" s="112">
        <v>57.878</v>
      </c>
      <c r="C364" s="112">
        <v>264.00099999999998</v>
      </c>
      <c r="D364" s="112">
        <v>658.93100000000004</v>
      </c>
      <c r="E364" s="112">
        <v>504.7</v>
      </c>
      <c r="F364" s="112">
        <v>238.75199999999998</v>
      </c>
      <c r="G364" s="112">
        <v>0</v>
      </c>
      <c r="H364" s="122">
        <v>1724.2620000000002</v>
      </c>
      <c r="I364" s="112">
        <v>44.817</v>
      </c>
      <c r="J364" s="112">
        <v>168.85599999999999</v>
      </c>
      <c r="K364" s="112">
        <v>338.642</v>
      </c>
      <c r="L364" s="112">
        <v>346.76499999999999</v>
      </c>
      <c r="M364" s="112">
        <v>138.72899999999998</v>
      </c>
      <c r="N364" s="112">
        <v>7.5959999999999992</v>
      </c>
      <c r="O364" s="122">
        <v>1045.403</v>
      </c>
      <c r="P364" s="112">
        <v>102.69499999999999</v>
      </c>
      <c r="Q364" s="112">
        <v>432.85699999999997</v>
      </c>
      <c r="R364" s="112">
        <v>997.57299999999998</v>
      </c>
      <c r="S364" s="112">
        <v>851.46500000000003</v>
      </c>
      <c r="T364" s="112">
        <v>377.48099999999999</v>
      </c>
      <c r="U364" s="112">
        <v>7.5959999999999992</v>
      </c>
      <c r="V364" s="112">
        <v>2769.665</v>
      </c>
    </row>
    <row r="365" spans="1:22" x14ac:dyDescent="0.2">
      <c r="A365" s="47" t="s">
        <v>85</v>
      </c>
      <c r="B365" s="112">
        <v>20.488</v>
      </c>
      <c r="C365" s="112">
        <v>95.19</v>
      </c>
      <c r="D365" s="112">
        <v>243.58199999999999</v>
      </c>
      <c r="E365" s="112">
        <v>184.596</v>
      </c>
      <c r="F365" s="112">
        <v>77.603999999999999</v>
      </c>
      <c r="G365" s="112">
        <v>0</v>
      </c>
      <c r="H365" s="122">
        <v>621.45699999999999</v>
      </c>
      <c r="I365" s="112">
        <v>16.873999999999999</v>
      </c>
      <c r="J365" s="112">
        <v>56.71</v>
      </c>
      <c r="K365" s="112">
        <v>115.745</v>
      </c>
      <c r="L365" s="112">
        <v>123.672</v>
      </c>
      <c r="M365" s="112">
        <v>58.061999999999998</v>
      </c>
      <c r="N365" s="112">
        <v>2.44</v>
      </c>
      <c r="O365" s="122">
        <v>373.50400000000002</v>
      </c>
      <c r="P365" s="112">
        <v>37.361999999999995</v>
      </c>
      <c r="Q365" s="112">
        <v>151.9</v>
      </c>
      <c r="R365" s="112">
        <v>359.327</v>
      </c>
      <c r="S365" s="112">
        <v>308.26800000000003</v>
      </c>
      <c r="T365" s="112">
        <v>135.666</v>
      </c>
      <c r="U365" s="112">
        <v>2.44</v>
      </c>
      <c r="V365" s="112">
        <v>994.96100000000001</v>
      </c>
    </row>
    <row r="366" spans="1:22" x14ac:dyDescent="0.2">
      <c r="A366" s="47" t="s">
        <v>86</v>
      </c>
      <c r="B366" s="112">
        <v>18.803999999999998</v>
      </c>
      <c r="C366" s="112">
        <v>87.534000000000006</v>
      </c>
      <c r="D366" s="112">
        <v>215.18199999999999</v>
      </c>
      <c r="E366" s="112">
        <v>177.715</v>
      </c>
      <c r="F366" s="112">
        <v>71.734999999999999</v>
      </c>
      <c r="G366" s="112">
        <v>0</v>
      </c>
      <c r="H366" s="122">
        <v>570.96699999999998</v>
      </c>
      <c r="I366" s="112">
        <v>16.754999999999999</v>
      </c>
      <c r="J366" s="112">
        <v>54.079000000000001</v>
      </c>
      <c r="K366" s="112">
        <v>106.51900000000001</v>
      </c>
      <c r="L366" s="112">
        <v>117.57599999999999</v>
      </c>
      <c r="M366" s="112">
        <v>52.411999999999999</v>
      </c>
      <c r="N366" s="112">
        <v>2.42</v>
      </c>
      <c r="O366" s="122">
        <v>349.76499999999999</v>
      </c>
      <c r="P366" s="112">
        <v>35.558999999999997</v>
      </c>
      <c r="Q366" s="112">
        <v>141.613</v>
      </c>
      <c r="R366" s="112">
        <v>321.70100000000002</v>
      </c>
      <c r="S366" s="112">
        <v>295.291</v>
      </c>
      <c r="T366" s="112">
        <v>124.14699999999999</v>
      </c>
      <c r="U366" s="112">
        <v>2.42</v>
      </c>
      <c r="V366" s="112">
        <v>920.73199999999997</v>
      </c>
    </row>
    <row r="367" spans="1:22" x14ac:dyDescent="0.2">
      <c r="A367" s="47" t="s">
        <v>87</v>
      </c>
      <c r="B367" s="112">
        <v>14.602</v>
      </c>
      <c r="C367" s="112">
        <v>74.463999999999999</v>
      </c>
      <c r="D367" s="112">
        <v>185.11699999999999</v>
      </c>
      <c r="E367" s="112">
        <v>146.31800000000001</v>
      </c>
      <c r="F367" s="112">
        <v>65.796999999999997</v>
      </c>
      <c r="G367" s="112">
        <v>0</v>
      </c>
      <c r="H367" s="122">
        <v>486.298</v>
      </c>
      <c r="I367" s="112">
        <v>12.71</v>
      </c>
      <c r="J367" s="112">
        <v>46.999000000000002</v>
      </c>
      <c r="K367" s="112">
        <v>91.665999999999997</v>
      </c>
      <c r="L367" s="112">
        <v>99.65</v>
      </c>
      <c r="M367" s="112">
        <v>44.081000000000003</v>
      </c>
      <c r="N367" s="112">
        <v>2.3359999999999999</v>
      </c>
      <c r="O367" s="122">
        <v>297.44</v>
      </c>
      <c r="P367" s="112">
        <v>27.312000000000001</v>
      </c>
      <c r="Q367" s="112">
        <v>121.46299999999999</v>
      </c>
      <c r="R367" s="112">
        <v>276.78300000000002</v>
      </c>
      <c r="S367" s="112">
        <v>245.96800000000002</v>
      </c>
      <c r="T367" s="112">
        <v>109.878</v>
      </c>
      <c r="U367" s="112">
        <v>2.3359999999999999</v>
      </c>
      <c r="V367" s="112">
        <v>783.73800000000006</v>
      </c>
    </row>
    <row r="368" spans="1:22" x14ac:dyDescent="0.2">
      <c r="A368" s="47" t="s">
        <v>84</v>
      </c>
      <c r="B368" s="112">
        <v>53.894000000000005</v>
      </c>
      <c r="C368" s="112">
        <v>257.18799999999999</v>
      </c>
      <c r="D368" s="112">
        <v>643.88099999999997</v>
      </c>
      <c r="E368" s="112">
        <v>508.62900000000002</v>
      </c>
      <c r="F368" s="112">
        <v>215.136</v>
      </c>
      <c r="G368" s="112">
        <v>0</v>
      </c>
      <c r="H368" s="122">
        <v>1678.722</v>
      </c>
      <c r="I368" s="112">
        <v>46.338999999999999</v>
      </c>
      <c r="J368" s="112">
        <v>157.78800000000001</v>
      </c>
      <c r="K368" s="112">
        <v>313.93</v>
      </c>
      <c r="L368" s="112">
        <v>340.89800000000002</v>
      </c>
      <c r="M368" s="112">
        <v>154.55500000000001</v>
      </c>
      <c r="N368" s="112">
        <v>7.1959999999999997</v>
      </c>
      <c r="O368" s="122">
        <v>1020.7090000000001</v>
      </c>
      <c r="P368" s="112">
        <v>100.23299999999999</v>
      </c>
      <c r="Q368" s="112">
        <v>414.976</v>
      </c>
      <c r="R368" s="112">
        <v>957.81100000000004</v>
      </c>
      <c r="S368" s="112">
        <v>849.52700000000004</v>
      </c>
      <c r="T368" s="112">
        <v>369.69099999999997</v>
      </c>
      <c r="U368" s="112">
        <v>7.1959999999999997</v>
      </c>
      <c r="V368" s="112">
        <v>2699.431</v>
      </c>
    </row>
    <row r="369" spans="1:22" x14ac:dyDescent="0.2">
      <c r="A369" s="47"/>
      <c r="B369" s="112"/>
      <c r="C369" s="112"/>
      <c r="D369" s="112"/>
      <c r="E369" s="112"/>
      <c r="F369" s="112"/>
      <c r="G369" s="112"/>
      <c r="H369" s="122"/>
      <c r="I369" s="112"/>
      <c r="J369" s="112"/>
      <c r="K369" s="112"/>
      <c r="L369" s="112"/>
      <c r="M369" s="112"/>
      <c r="N369" s="112"/>
      <c r="O369" s="122"/>
      <c r="P369" s="112"/>
      <c r="Q369" s="112"/>
      <c r="R369" s="112"/>
      <c r="S369" s="112"/>
      <c r="T369" s="112"/>
      <c r="U369" s="112"/>
      <c r="V369" s="112"/>
    </row>
    <row r="370" spans="1:22" x14ac:dyDescent="0.2">
      <c r="A370" s="47">
        <v>2018</v>
      </c>
      <c r="B370" s="112"/>
      <c r="C370" s="112"/>
      <c r="D370" s="112"/>
      <c r="E370" s="112"/>
      <c r="F370" s="112"/>
      <c r="G370" s="112"/>
      <c r="H370" s="122"/>
      <c r="I370" s="112"/>
      <c r="J370" s="112"/>
      <c r="K370" s="112"/>
      <c r="L370" s="112"/>
      <c r="M370" s="112"/>
      <c r="N370" s="112"/>
      <c r="O370" s="122"/>
      <c r="P370" s="112"/>
      <c r="Q370" s="112"/>
      <c r="R370" s="112"/>
      <c r="S370" s="112"/>
      <c r="T370" s="112"/>
      <c r="U370" s="112"/>
      <c r="V370" s="112"/>
    </row>
    <row r="371" spans="1:22" x14ac:dyDescent="0.2">
      <c r="A371" s="47" t="s">
        <v>74</v>
      </c>
      <c r="B371" s="112">
        <v>17.071999999999999</v>
      </c>
      <c r="C371" s="112">
        <v>86.427999999999997</v>
      </c>
      <c r="D371" s="112">
        <v>214.56800000000001</v>
      </c>
      <c r="E371" s="112">
        <v>172.64400000000001</v>
      </c>
      <c r="F371" s="112">
        <v>76.855999999999995</v>
      </c>
      <c r="G371" s="112">
        <v>0</v>
      </c>
      <c r="H371" s="122">
        <v>567.56799999999998</v>
      </c>
      <c r="I371" s="112">
        <v>14.763</v>
      </c>
      <c r="J371" s="112">
        <v>42.441000000000003</v>
      </c>
      <c r="K371" s="112">
        <v>80.783000000000001</v>
      </c>
      <c r="L371" s="112">
        <v>90.784999999999997</v>
      </c>
      <c r="M371" s="112">
        <v>40.584000000000003</v>
      </c>
      <c r="N371" s="112">
        <v>2.17</v>
      </c>
      <c r="O371" s="122">
        <v>271.529</v>
      </c>
      <c r="P371" s="112">
        <v>31.835000000000001</v>
      </c>
      <c r="Q371" s="112">
        <v>128.869</v>
      </c>
      <c r="R371" s="112">
        <v>295.351</v>
      </c>
      <c r="S371" s="112">
        <v>263.42899999999997</v>
      </c>
      <c r="T371" s="112">
        <v>117.44</v>
      </c>
      <c r="U371" s="112">
        <v>2.17</v>
      </c>
      <c r="V371" s="112">
        <v>839.09699999999998</v>
      </c>
    </row>
    <row r="372" spans="1:22" x14ac:dyDescent="0.2">
      <c r="A372" s="47" t="s">
        <v>75</v>
      </c>
      <c r="B372" s="112">
        <v>15.615</v>
      </c>
      <c r="C372" s="112">
        <v>80.195999999999998</v>
      </c>
      <c r="D372" s="112">
        <v>203.85300000000001</v>
      </c>
      <c r="E372" s="112">
        <v>166.619</v>
      </c>
      <c r="F372" s="112">
        <v>70.981999999999999</v>
      </c>
      <c r="G372" s="112">
        <v>0</v>
      </c>
      <c r="H372" s="122">
        <v>537.26599999999996</v>
      </c>
      <c r="I372" s="112">
        <v>15.256</v>
      </c>
      <c r="J372" s="112">
        <v>46.305999999999997</v>
      </c>
      <c r="K372" s="112">
        <v>83.828000000000003</v>
      </c>
      <c r="L372" s="112">
        <v>92.156000000000006</v>
      </c>
      <c r="M372" s="112">
        <v>42.597999999999999</v>
      </c>
      <c r="N372" s="112">
        <v>2.3730000000000002</v>
      </c>
      <c r="O372" s="122">
        <v>282.52</v>
      </c>
      <c r="P372" s="112">
        <v>30.871000000000002</v>
      </c>
      <c r="Q372" s="112">
        <v>126.502</v>
      </c>
      <c r="R372" s="112">
        <v>287.68100000000004</v>
      </c>
      <c r="S372" s="112">
        <v>258.77499999999998</v>
      </c>
      <c r="T372" s="112">
        <v>113.58</v>
      </c>
      <c r="U372" s="112">
        <v>2.3730000000000002</v>
      </c>
      <c r="V372" s="112">
        <v>819.78599999999994</v>
      </c>
    </row>
    <row r="373" spans="1:22" x14ac:dyDescent="0.2">
      <c r="A373" s="47" t="s">
        <v>76</v>
      </c>
      <c r="B373" s="112">
        <v>17.888999999999999</v>
      </c>
      <c r="C373" s="112">
        <v>85.521000000000001</v>
      </c>
      <c r="D373" s="112">
        <v>221.78</v>
      </c>
      <c r="E373" s="112">
        <v>181.40700000000001</v>
      </c>
      <c r="F373" s="112">
        <v>77.296999999999997</v>
      </c>
      <c r="G373" s="112">
        <v>0</v>
      </c>
      <c r="H373" s="122">
        <v>583.89400000000001</v>
      </c>
      <c r="I373" s="112">
        <v>14.523999999999999</v>
      </c>
      <c r="J373" s="112">
        <v>55.408999999999999</v>
      </c>
      <c r="K373" s="112">
        <v>101.405</v>
      </c>
      <c r="L373" s="112">
        <v>112.593</v>
      </c>
      <c r="M373" s="112">
        <v>47.98</v>
      </c>
      <c r="N373" s="112">
        <v>3.2109999999999999</v>
      </c>
      <c r="O373" s="122">
        <v>335.12099999999998</v>
      </c>
      <c r="P373" s="112">
        <v>32.412999999999997</v>
      </c>
      <c r="Q373" s="112">
        <v>140.93</v>
      </c>
      <c r="R373" s="112">
        <v>323.185</v>
      </c>
      <c r="S373" s="112">
        <v>294</v>
      </c>
      <c r="T373" s="112">
        <v>125.27699999999999</v>
      </c>
      <c r="U373" s="112">
        <v>3.2109999999999999</v>
      </c>
      <c r="V373" s="112">
        <v>919.01499999999999</v>
      </c>
    </row>
    <row r="374" spans="1:22" x14ac:dyDescent="0.2">
      <c r="A374" s="47" t="s">
        <v>77</v>
      </c>
      <c r="B374" s="112">
        <v>50.575999999999993</v>
      </c>
      <c r="C374" s="112">
        <v>252.14499999999998</v>
      </c>
      <c r="D374" s="112">
        <v>640.20100000000002</v>
      </c>
      <c r="E374" s="112">
        <v>520.67000000000007</v>
      </c>
      <c r="F374" s="112">
        <v>225.13499999999999</v>
      </c>
      <c r="G374" s="112">
        <v>0</v>
      </c>
      <c r="H374" s="122">
        <v>1688.7279999999998</v>
      </c>
      <c r="I374" s="112">
        <v>44.542999999999999</v>
      </c>
      <c r="J374" s="112">
        <v>144.15600000000001</v>
      </c>
      <c r="K374" s="112">
        <v>266.01599999999996</v>
      </c>
      <c r="L374" s="112">
        <v>295.53399999999999</v>
      </c>
      <c r="M374" s="112">
        <v>131.16200000000001</v>
      </c>
      <c r="N374" s="112">
        <v>7.7539999999999996</v>
      </c>
      <c r="O374" s="122">
        <v>889.17</v>
      </c>
      <c r="P374" s="112">
        <v>95.119</v>
      </c>
      <c r="Q374" s="112">
        <v>396.30099999999999</v>
      </c>
      <c r="R374" s="112">
        <v>906.2170000000001</v>
      </c>
      <c r="S374" s="112">
        <v>816.20399999999995</v>
      </c>
      <c r="T374" s="112">
        <v>356.29699999999997</v>
      </c>
      <c r="U374" s="112">
        <v>7.7539999999999996</v>
      </c>
      <c r="V374" s="112">
        <v>2577.8979999999997</v>
      </c>
    </row>
    <row r="375" spans="1:22" x14ac:dyDescent="0.2">
      <c r="A375" s="47" t="s">
        <v>78</v>
      </c>
      <c r="B375" s="112">
        <v>16.751000000000001</v>
      </c>
      <c r="C375" s="112">
        <v>78.590999999999994</v>
      </c>
      <c r="D375" s="112">
        <v>216.84200000000001</v>
      </c>
      <c r="E375" s="112">
        <v>173.48699999999999</v>
      </c>
      <c r="F375" s="112">
        <v>75.474999999999994</v>
      </c>
      <c r="G375" s="112">
        <v>0</v>
      </c>
      <c r="H375" s="122">
        <v>561.14499999999998</v>
      </c>
      <c r="I375" s="112">
        <v>14.231</v>
      </c>
      <c r="J375" s="112">
        <v>52.029000000000003</v>
      </c>
      <c r="K375" s="112">
        <v>85.337999999999994</v>
      </c>
      <c r="L375" s="112">
        <v>94.876999999999995</v>
      </c>
      <c r="M375" s="112">
        <v>42.652999999999999</v>
      </c>
      <c r="N375" s="112">
        <v>2.407</v>
      </c>
      <c r="O375" s="122">
        <v>291.53399999999999</v>
      </c>
      <c r="P375" s="112">
        <v>30.981999999999999</v>
      </c>
      <c r="Q375" s="112">
        <v>130.62</v>
      </c>
      <c r="R375" s="112">
        <v>302.18</v>
      </c>
      <c r="S375" s="112">
        <v>268.36399999999998</v>
      </c>
      <c r="T375" s="112">
        <v>118.12799999999999</v>
      </c>
      <c r="U375" s="112">
        <v>2.407</v>
      </c>
      <c r="V375" s="112">
        <v>852.67899999999997</v>
      </c>
    </row>
    <row r="376" spans="1:22" x14ac:dyDescent="0.2">
      <c r="A376" s="47" t="s">
        <v>79</v>
      </c>
      <c r="B376" s="112">
        <v>19.899999999999999</v>
      </c>
      <c r="C376" s="112">
        <v>90.831000000000003</v>
      </c>
      <c r="D376" s="112">
        <v>212.78700000000001</v>
      </c>
      <c r="E376" s="112">
        <v>181.029</v>
      </c>
      <c r="F376" s="112">
        <v>85.998999999999995</v>
      </c>
      <c r="G376" s="112">
        <v>0.68</v>
      </c>
      <c r="H376" s="122">
        <v>591.22400000000005</v>
      </c>
      <c r="I376" s="112">
        <v>17.067</v>
      </c>
      <c r="J376" s="112">
        <v>55.174999999999997</v>
      </c>
      <c r="K376" s="112">
        <v>90.686999999999998</v>
      </c>
      <c r="L376" s="112">
        <v>104.938</v>
      </c>
      <c r="M376" s="112">
        <v>47.969000000000001</v>
      </c>
      <c r="N376" s="112">
        <v>2.6779999999999999</v>
      </c>
      <c r="O376" s="122">
        <v>318.51600000000002</v>
      </c>
      <c r="P376" s="112">
        <v>36.966999999999999</v>
      </c>
      <c r="Q376" s="112">
        <v>146.006</v>
      </c>
      <c r="R376" s="112">
        <v>303.47399999999999</v>
      </c>
      <c r="S376" s="112">
        <v>285.96699999999998</v>
      </c>
      <c r="T376" s="112">
        <v>133.96799999999999</v>
      </c>
      <c r="U376" s="112">
        <v>3.3580000000000001</v>
      </c>
      <c r="V376" s="112">
        <v>909.74</v>
      </c>
    </row>
    <row r="377" spans="1:22" x14ac:dyDescent="0.2">
      <c r="A377" s="47" t="s">
        <v>89</v>
      </c>
      <c r="B377" s="112">
        <v>18.835999999999999</v>
      </c>
      <c r="C377" s="112">
        <v>90.025000000000006</v>
      </c>
      <c r="D377" s="112">
        <v>215.90199999999999</v>
      </c>
      <c r="E377" s="112">
        <v>177.10499999999999</v>
      </c>
      <c r="F377" s="112">
        <v>85.381</v>
      </c>
      <c r="G377" s="112">
        <v>0</v>
      </c>
      <c r="H377" s="122">
        <v>587.25099999999998</v>
      </c>
      <c r="I377" s="112">
        <v>14.484</v>
      </c>
      <c r="J377" s="112">
        <v>51.442</v>
      </c>
      <c r="K377" s="112">
        <v>93.435000000000002</v>
      </c>
      <c r="L377" s="112">
        <v>104.401</v>
      </c>
      <c r="M377" s="112">
        <v>45.417999999999999</v>
      </c>
      <c r="N377" s="112">
        <v>2.75</v>
      </c>
      <c r="O377" s="122">
        <v>311.93099999999998</v>
      </c>
      <c r="P377" s="112">
        <v>33.32</v>
      </c>
      <c r="Q377" s="112">
        <v>141.46700000000001</v>
      </c>
      <c r="R377" s="112">
        <v>309.33699999999999</v>
      </c>
      <c r="S377" s="112">
        <v>281.50599999999997</v>
      </c>
      <c r="T377" s="112">
        <v>130.79900000000001</v>
      </c>
      <c r="U377" s="112">
        <v>2.75</v>
      </c>
      <c r="V377" s="112">
        <v>899.18200000000002</v>
      </c>
    </row>
    <row r="378" spans="1:22" x14ac:dyDescent="0.2">
      <c r="A378" s="47" t="s">
        <v>80</v>
      </c>
      <c r="B378" s="112">
        <v>55.486999999999995</v>
      </c>
      <c r="C378" s="112">
        <v>259.447</v>
      </c>
      <c r="D378" s="112">
        <v>645.53099999999995</v>
      </c>
      <c r="E378" s="112">
        <v>531.62099999999998</v>
      </c>
      <c r="F378" s="112">
        <v>246.85499999999999</v>
      </c>
      <c r="G378" s="112">
        <v>0.68</v>
      </c>
      <c r="H378" s="122">
        <v>1739.6200000000001</v>
      </c>
      <c r="I378" s="112">
        <v>45.782000000000004</v>
      </c>
      <c r="J378" s="112">
        <v>158.64600000000002</v>
      </c>
      <c r="K378" s="112">
        <v>269.45999999999998</v>
      </c>
      <c r="L378" s="112">
        <v>304.21600000000001</v>
      </c>
      <c r="M378" s="112">
        <v>136.04</v>
      </c>
      <c r="N378" s="112">
        <v>7.835</v>
      </c>
      <c r="O378" s="122">
        <v>921.98099999999999</v>
      </c>
      <c r="P378" s="112">
        <v>101.26900000000001</v>
      </c>
      <c r="Q378" s="112">
        <v>418.09299999999996</v>
      </c>
      <c r="R378" s="112">
        <v>914.99099999999999</v>
      </c>
      <c r="S378" s="112">
        <v>835.83699999999988</v>
      </c>
      <c r="T378" s="112">
        <v>382.89499999999998</v>
      </c>
      <c r="U378" s="112">
        <v>8.5150000000000006</v>
      </c>
      <c r="V378" s="112">
        <v>2661.6009999999997</v>
      </c>
    </row>
    <row r="379" spans="1:22" x14ac:dyDescent="0.2">
      <c r="A379" s="47" t="s">
        <v>90</v>
      </c>
      <c r="B379" s="112">
        <v>18.073</v>
      </c>
      <c r="C379" s="112">
        <v>85.819000000000003</v>
      </c>
      <c r="D379" s="112">
        <v>228.48500000000001</v>
      </c>
      <c r="E379" s="112">
        <v>179.07300000000001</v>
      </c>
      <c r="F379" s="112">
        <v>82.653000000000006</v>
      </c>
      <c r="G379" s="112">
        <v>0</v>
      </c>
      <c r="H379" s="122">
        <v>594.10500000000002</v>
      </c>
      <c r="I379" s="112">
        <v>13.032</v>
      </c>
      <c r="J379" s="112">
        <v>51.798999999999999</v>
      </c>
      <c r="K379" s="112">
        <v>110.035</v>
      </c>
      <c r="L379" s="112">
        <v>107.538</v>
      </c>
      <c r="M379" s="112">
        <v>52.942999999999998</v>
      </c>
      <c r="N379" s="112">
        <v>2.9630000000000001</v>
      </c>
      <c r="O379" s="122">
        <v>338.31200000000001</v>
      </c>
      <c r="P379" s="112">
        <v>31.105</v>
      </c>
      <c r="Q379" s="112">
        <v>137.61799999999999</v>
      </c>
      <c r="R379" s="112">
        <v>338.52</v>
      </c>
      <c r="S379" s="112">
        <v>286.61099999999999</v>
      </c>
      <c r="T379" s="112">
        <v>135.596</v>
      </c>
      <c r="U379" s="112">
        <v>2.9630000000000001</v>
      </c>
      <c r="V379" s="112">
        <v>932.41700000000003</v>
      </c>
    </row>
    <row r="380" spans="1:22" x14ac:dyDescent="0.2">
      <c r="A380" s="47" t="s">
        <v>81</v>
      </c>
      <c r="B380" s="112">
        <v>20.266999999999999</v>
      </c>
      <c r="C380" s="112">
        <v>100.816</v>
      </c>
      <c r="D380" s="112">
        <v>239.46299999999999</v>
      </c>
      <c r="E380" s="112">
        <v>195.22200000000001</v>
      </c>
      <c r="F380" s="112">
        <v>84.194999999999993</v>
      </c>
      <c r="G380" s="112">
        <v>0</v>
      </c>
      <c r="H380" s="122">
        <v>639.96500000000003</v>
      </c>
      <c r="I380" s="112">
        <v>15.829000000000001</v>
      </c>
      <c r="J380" s="112">
        <v>55.481000000000002</v>
      </c>
      <c r="K380" s="112">
        <v>111.78100000000001</v>
      </c>
      <c r="L380" s="112">
        <v>122.003</v>
      </c>
      <c r="M380" s="112">
        <v>53.591999999999999</v>
      </c>
      <c r="N380" s="112">
        <v>2.79</v>
      </c>
      <c r="O380" s="122">
        <v>361.47500000000002</v>
      </c>
      <c r="P380" s="112">
        <v>36.096000000000004</v>
      </c>
      <c r="Q380" s="112">
        <v>156.297</v>
      </c>
      <c r="R380" s="112">
        <v>351.24400000000003</v>
      </c>
      <c r="S380" s="112">
        <v>317.22500000000002</v>
      </c>
      <c r="T380" s="112">
        <v>137.78699999999998</v>
      </c>
      <c r="U380" s="112">
        <v>2.79</v>
      </c>
      <c r="V380" s="112">
        <v>1001.44</v>
      </c>
    </row>
    <row r="381" spans="1:22" x14ac:dyDescent="0.2">
      <c r="A381" s="47" t="s">
        <v>82</v>
      </c>
      <c r="B381" s="112">
        <v>16.951000000000001</v>
      </c>
      <c r="C381" s="112">
        <v>84.11</v>
      </c>
      <c r="D381" s="112">
        <v>220.13900000000001</v>
      </c>
      <c r="E381" s="112">
        <v>157.136</v>
      </c>
      <c r="F381" s="112">
        <v>78.256</v>
      </c>
      <c r="G381" s="112">
        <v>0</v>
      </c>
      <c r="H381" s="122">
        <v>556.59199999999998</v>
      </c>
      <c r="I381" s="112">
        <v>14.384</v>
      </c>
      <c r="J381" s="112">
        <v>44.276000000000003</v>
      </c>
      <c r="K381" s="112">
        <v>92.864000000000004</v>
      </c>
      <c r="L381" s="112">
        <v>105.316</v>
      </c>
      <c r="M381" s="112">
        <v>47.936999999999998</v>
      </c>
      <c r="N381" s="112">
        <v>2.8820000000000001</v>
      </c>
      <c r="O381" s="122">
        <v>307.66000000000003</v>
      </c>
      <c r="P381" s="112">
        <v>31.335000000000001</v>
      </c>
      <c r="Q381" s="112">
        <v>128.386</v>
      </c>
      <c r="R381" s="112">
        <v>313.00299999999999</v>
      </c>
      <c r="S381" s="112">
        <v>262.452</v>
      </c>
      <c r="T381" s="112">
        <v>126.193</v>
      </c>
      <c r="U381" s="112">
        <v>2.8820000000000001</v>
      </c>
      <c r="V381" s="112">
        <v>864.25199999999995</v>
      </c>
    </row>
    <row r="382" spans="1:22" x14ac:dyDescent="0.2">
      <c r="A382" s="47" t="s">
        <v>83</v>
      </c>
      <c r="B382" s="112">
        <v>55.291000000000004</v>
      </c>
      <c r="C382" s="112">
        <v>270.745</v>
      </c>
      <c r="D382" s="112">
        <v>688.08699999999999</v>
      </c>
      <c r="E382" s="112">
        <v>531.43100000000004</v>
      </c>
      <c r="F382" s="112">
        <v>245.10400000000001</v>
      </c>
      <c r="G382" s="112">
        <v>0</v>
      </c>
      <c r="H382" s="122">
        <v>1790.6620000000003</v>
      </c>
      <c r="I382" s="112">
        <v>43.245000000000005</v>
      </c>
      <c r="J382" s="112">
        <v>151.55600000000001</v>
      </c>
      <c r="K382" s="112">
        <v>314.68</v>
      </c>
      <c r="L382" s="112">
        <v>334.85699999999997</v>
      </c>
      <c r="M382" s="112">
        <v>154.47199999999998</v>
      </c>
      <c r="N382" s="112">
        <v>8.6349999999999998</v>
      </c>
      <c r="O382" s="122">
        <v>1007.4470000000001</v>
      </c>
      <c r="P382" s="112">
        <v>98.536000000000001</v>
      </c>
      <c r="Q382" s="112">
        <v>422.30099999999993</v>
      </c>
      <c r="R382" s="112">
        <v>1002.7670000000001</v>
      </c>
      <c r="S382" s="112">
        <v>866.28800000000001</v>
      </c>
      <c r="T382" s="112">
        <v>399.57599999999996</v>
      </c>
      <c r="U382" s="112">
        <v>8.6349999999999998</v>
      </c>
      <c r="V382" s="112">
        <v>2798.1089999999999</v>
      </c>
    </row>
    <row r="383" spans="1:22" x14ac:dyDescent="0.2">
      <c r="A383" s="47" t="s">
        <v>85</v>
      </c>
      <c r="B383" s="112">
        <v>21.138999999999999</v>
      </c>
      <c r="C383" s="112">
        <v>99.790999999999997</v>
      </c>
      <c r="D383" s="112">
        <v>245.19499999999999</v>
      </c>
      <c r="E383" s="112">
        <v>190.23400000000001</v>
      </c>
      <c r="F383" s="112">
        <v>84.283000000000001</v>
      </c>
      <c r="G383" s="112">
        <v>0</v>
      </c>
      <c r="H383" s="122">
        <v>640.64300000000003</v>
      </c>
      <c r="I383" s="112">
        <v>17.109000000000002</v>
      </c>
      <c r="J383" s="112">
        <v>60.654000000000003</v>
      </c>
      <c r="K383" s="112">
        <v>103.991</v>
      </c>
      <c r="L383" s="112">
        <v>126.301</v>
      </c>
      <c r="M383" s="112">
        <v>58.537999999999997</v>
      </c>
      <c r="N383" s="112">
        <v>2.6659999999999999</v>
      </c>
      <c r="O383" s="122">
        <v>369.25799999999998</v>
      </c>
      <c r="P383" s="112">
        <v>38.248000000000005</v>
      </c>
      <c r="Q383" s="112">
        <v>160.44499999999999</v>
      </c>
      <c r="R383" s="112">
        <v>349.18599999999998</v>
      </c>
      <c r="S383" s="112">
        <v>316.53500000000003</v>
      </c>
      <c r="T383" s="112">
        <v>142.821</v>
      </c>
      <c r="U383" s="112">
        <v>2.6659999999999999</v>
      </c>
      <c r="V383" s="112">
        <v>1009.9010000000001</v>
      </c>
    </row>
    <row r="384" spans="1:22" x14ac:dyDescent="0.2">
      <c r="A384" s="47" t="s">
        <v>86</v>
      </c>
      <c r="B384" s="112">
        <v>17.594999999999999</v>
      </c>
      <c r="C384" s="112">
        <v>85.05</v>
      </c>
      <c r="D384" s="112">
        <v>213.38499999999999</v>
      </c>
      <c r="E384" s="112">
        <v>160.54300000000001</v>
      </c>
      <c r="F384" s="112">
        <v>72.070999999999998</v>
      </c>
      <c r="G384" s="112">
        <v>1E-3</v>
      </c>
      <c r="H384" s="122">
        <v>548.64599999999996</v>
      </c>
      <c r="I384" s="112">
        <v>16.652999999999999</v>
      </c>
      <c r="J384" s="112">
        <v>48.860999999999997</v>
      </c>
      <c r="K384" s="112">
        <v>93.278000000000006</v>
      </c>
      <c r="L384" s="112">
        <v>125.099</v>
      </c>
      <c r="M384" s="112">
        <v>51.844000000000001</v>
      </c>
      <c r="N384" s="112">
        <v>2.6080000000000001</v>
      </c>
      <c r="O384" s="122">
        <v>338.34199999999998</v>
      </c>
      <c r="P384" s="112">
        <v>34.247999999999998</v>
      </c>
      <c r="Q384" s="112">
        <v>133.911</v>
      </c>
      <c r="R384" s="112">
        <v>306.66300000000001</v>
      </c>
      <c r="S384" s="112">
        <v>285.642</v>
      </c>
      <c r="T384" s="112">
        <v>123.91499999999999</v>
      </c>
      <c r="U384" s="112">
        <v>2.609</v>
      </c>
      <c r="V384" s="112">
        <v>886.98799999999994</v>
      </c>
    </row>
    <row r="385" spans="1:22" x14ac:dyDescent="0.2">
      <c r="A385" s="47" t="s">
        <v>87</v>
      </c>
      <c r="B385" s="112">
        <v>13.347</v>
      </c>
      <c r="C385" s="112">
        <v>76.825999999999993</v>
      </c>
      <c r="D385" s="112">
        <v>183.17699999999999</v>
      </c>
      <c r="E385" s="112">
        <v>152.41399999999999</v>
      </c>
      <c r="F385" s="112">
        <v>53.201000000000001</v>
      </c>
      <c r="G385" s="112">
        <v>0</v>
      </c>
      <c r="H385" s="122">
        <v>478.96499999999997</v>
      </c>
      <c r="I385" s="112">
        <v>15.087999999999999</v>
      </c>
      <c r="J385" s="112">
        <v>37.445999999999998</v>
      </c>
      <c r="K385" s="112">
        <v>91.968999999999994</v>
      </c>
      <c r="L385" s="112">
        <v>109.331</v>
      </c>
      <c r="M385" s="112">
        <v>43.445</v>
      </c>
      <c r="N385" s="112">
        <v>2.7029999999999998</v>
      </c>
      <c r="O385" s="122">
        <v>299.98399999999998</v>
      </c>
      <c r="P385" s="112">
        <v>28.434999999999999</v>
      </c>
      <c r="Q385" s="112">
        <v>114.27199999999999</v>
      </c>
      <c r="R385" s="112">
        <v>275.14599999999996</v>
      </c>
      <c r="S385" s="112">
        <v>261.745</v>
      </c>
      <c r="T385" s="112">
        <v>96.646000000000001</v>
      </c>
      <c r="U385" s="112">
        <v>2.7029999999999998</v>
      </c>
      <c r="V385" s="112">
        <v>778.94899999999996</v>
      </c>
    </row>
    <row r="386" spans="1:22" x14ac:dyDescent="0.2">
      <c r="A386" s="47" t="s">
        <v>84</v>
      </c>
      <c r="B386" s="112">
        <v>52.080999999999996</v>
      </c>
      <c r="C386" s="112">
        <v>261.66700000000003</v>
      </c>
      <c r="D386" s="112">
        <v>641.75699999999995</v>
      </c>
      <c r="E386" s="112">
        <v>503.19100000000003</v>
      </c>
      <c r="F386" s="112">
        <v>209.55499999999998</v>
      </c>
      <c r="G386" s="112">
        <v>1E-3</v>
      </c>
      <c r="H386" s="122">
        <v>1668.2539999999999</v>
      </c>
      <c r="I386" s="112">
        <v>48.85</v>
      </c>
      <c r="J386" s="112">
        <v>146.96100000000001</v>
      </c>
      <c r="K386" s="112">
        <v>289.238</v>
      </c>
      <c r="L386" s="112">
        <v>360.73099999999999</v>
      </c>
      <c r="M386" s="112">
        <v>153.827</v>
      </c>
      <c r="N386" s="112">
        <v>7.9770000000000003</v>
      </c>
      <c r="O386" s="122">
        <v>1007.5839999999998</v>
      </c>
      <c r="P386" s="112">
        <v>100.93100000000001</v>
      </c>
      <c r="Q386" s="112">
        <v>408.62799999999999</v>
      </c>
      <c r="R386" s="112">
        <v>930.99499999999989</v>
      </c>
      <c r="S386" s="112">
        <v>863.92200000000003</v>
      </c>
      <c r="T386" s="112">
        <v>363.38200000000001</v>
      </c>
      <c r="U386" s="112">
        <v>7.9779999999999998</v>
      </c>
      <c r="V386" s="112">
        <v>2675.8380000000002</v>
      </c>
    </row>
    <row r="387" spans="1:22" x14ac:dyDescent="0.2">
      <c r="A387" s="47"/>
      <c r="B387" s="112"/>
      <c r="C387" s="112"/>
      <c r="D387" s="112"/>
      <c r="E387" s="112"/>
      <c r="F387" s="112"/>
      <c r="G387" s="112"/>
      <c r="H387" s="122"/>
      <c r="I387" s="112"/>
      <c r="J387" s="112"/>
      <c r="K387" s="112"/>
      <c r="L387" s="112"/>
      <c r="M387" s="112"/>
      <c r="N387" s="112"/>
      <c r="O387" s="122"/>
      <c r="P387" s="112"/>
      <c r="Q387" s="112"/>
      <c r="R387" s="112"/>
      <c r="S387" s="112"/>
      <c r="T387" s="112"/>
      <c r="U387" s="112"/>
      <c r="V387" s="112"/>
    </row>
    <row r="388" spans="1:22" x14ac:dyDescent="0.2">
      <c r="A388" s="47">
        <v>2019</v>
      </c>
      <c r="B388" s="112"/>
      <c r="C388" s="112"/>
      <c r="D388" s="112"/>
      <c r="E388" s="112"/>
      <c r="F388" s="112"/>
      <c r="G388" s="112"/>
      <c r="H388" s="122"/>
      <c r="I388" s="112"/>
      <c r="J388" s="112"/>
      <c r="K388" s="112"/>
      <c r="L388" s="112"/>
      <c r="M388" s="112"/>
      <c r="N388" s="112"/>
      <c r="O388" s="122"/>
      <c r="P388" s="112"/>
      <c r="Q388" s="112"/>
      <c r="R388" s="112"/>
      <c r="S388" s="112"/>
      <c r="T388" s="112"/>
      <c r="U388" s="112"/>
      <c r="V388" s="112"/>
    </row>
    <row r="389" spans="1:22" x14ac:dyDescent="0.2">
      <c r="A389" s="47" t="s">
        <v>74</v>
      </c>
      <c r="B389" s="112">
        <v>16.86</v>
      </c>
      <c r="C389" s="112">
        <v>85.932000000000002</v>
      </c>
      <c r="D389" s="112">
        <v>226.304</v>
      </c>
      <c r="E389" s="112">
        <v>174.86199999999999</v>
      </c>
      <c r="F389" s="112">
        <v>77.314999999999998</v>
      </c>
      <c r="G389" s="112">
        <v>0</v>
      </c>
      <c r="H389" s="122">
        <v>581.274</v>
      </c>
      <c r="I389" s="112">
        <v>15.391</v>
      </c>
      <c r="J389" s="112">
        <v>49.814</v>
      </c>
      <c r="K389" s="112">
        <v>84.664000000000001</v>
      </c>
      <c r="L389" s="112">
        <v>91.564999999999998</v>
      </c>
      <c r="M389" s="112">
        <v>42.643999999999998</v>
      </c>
      <c r="N389" s="112">
        <v>2.431</v>
      </c>
      <c r="O389" s="122">
        <v>286.51</v>
      </c>
      <c r="P389" s="112">
        <v>32.250999999999998</v>
      </c>
      <c r="Q389" s="112">
        <v>135.74600000000001</v>
      </c>
      <c r="R389" s="112">
        <v>310.96800000000002</v>
      </c>
      <c r="S389" s="112">
        <v>266.42700000000002</v>
      </c>
      <c r="T389" s="112">
        <v>119.959</v>
      </c>
      <c r="U389" s="112">
        <v>2.431</v>
      </c>
      <c r="V389" s="112">
        <v>867.78399999999999</v>
      </c>
    </row>
    <row r="390" spans="1:22" x14ac:dyDescent="0.2">
      <c r="A390" s="47" t="s">
        <v>75</v>
      </c>
      <c r="B390" s="112">
        <v>14.913</v>
      </c>
      <c r="C390" s="112">
        <v>76.445999999999998</v>
      </c>
      <c r="D390" s="112">
        <v>198.501</v>
      </c>
      <c r="E390" s="112">
        <v>164.946</v>
      </c>
      <c r="F390" s="112">
        <v>70.912999999999997</v>
      </c>
      <c r="G390" s="112">
        <v>7.0000000000000007E-2</v>
      </c>
      <c r="H390" s="122">
        <v>525.78899999999999</v>
      </c>
      <c r="I390" s="112">
        <v>11.282</v>
      </c>
      <c r="J390" s="112">
        <v>47.017000000000003</v>
      </c>
      <c r="K390" s="112">
        <v>87.334999999999994</v>
      </c>
      <c r="L390" s="112">
        <v>89.212999999999994</v>
      </c>
      <c r="M390" s="112">
        <v>39.819000000000003</v>
      </c>
      <c r="N390" s="112">
        <v>2.4769999999999999</v>
      </c>
      <c r="O390" s="122">
        <v>277.14400000000001</v>
      </c>
      <c r="P390" s="112">
        <v>26.195</v>
      </c>
      <c r="Q390" s="112">
        <v>123.46299999999999</v>
      </c>
      <c r="R390" s="112">
        <v>285.83600000000001</v>
      </c>
      <c r="S390" s="112">
        <v>254.15899999999999</v>
      </c>
      <c r="T390" s="112">
        <v>110.732</v>
      </c>
      <c r="U390" s="112">
        <v>2.5469999999999997</v>
      </c>
      <c r="V390" s="112">
        <v>802.93299999999999</v>
      </c>
    </row>
    <row r="391" spans="1:22" x14ac:dyDescent="0.2">
      <c r="A391" s="47" t="s">
        <v>76</v>
      </c>
      <c r="B391" s="112">
        <v>15.94</v>
      </c>
      <c r="C391" s="112">
        <v>83.257999999999996</v>
      </c>
      <c r="D391" s="112">
        <v>228.67</v>
      </c>
      <c r="E391" s="112">
        <v>181.58199999999999</v>
      </c>
      <c r="F391" s="112">
        <v>74.295000000000002</v>
      </c>
      <c r="G391" s="112">
        <v>0</v>
      </c>
      <c r="H391" s="122">
        <v>583.74199999999996</v>
      </c>
      <c r="I391" s="112">
        <v>16.411999999999999</v>
      </c>
      <c r="J391" s="112">
        <v>50.822000000000003</v>
      </c>
      <c r="K391" s="112">
        <v>110.15</v>
      </c>
      <c r="L391" s="112">
        <v>105.857</v>
      </c>
      <c r="M391" s="112">
        <v>46.85</v>
      </c>
      <c r="N391" s="112">
        <v>2.8610000000000002</v>
      </c>
      <c r="O391" s="122">
        <v>332.95299999999997</v>
      </c>
      <c r="P391" s="112">
        <v>32.351999999999997</v>
      </c>
      <c r="Q391" s="112">
        <v>134.07999999999998</v>
      </c>
      <c r="R391" s="112">
        <v>338.82</v>
      </c>
      <c r="S391" s="112">
        <v>287.43899999999996</v>
      </c>
      <c r="T391" s="112">
        <v>121.14500000000001</v>
      </c>
      <c r="U391" s="112">
        <v>2.8610000000000002</v>
      </c>
      <c r="V391" s="112">
        <v>916.69499999999994</v>
      </c>
    </row>
    <row r="392" spans="1:22" x14ac:dyDescent="0.2">
      <c r="A392" s="47" t="s">
        <v>77</v>
      </c>
      <c r="B392" s="112">
        <v>47.713000000000001</v>
      </c>
      <c r="C392" s="112">
        <v>245.63599999999997</v>
      </c>
      <c r="D392" s="112">
        <v>653.47500000000002</v>
      </c>
      <c r="E392" s="112">
        <v>521.39</v>
      </c>
      <c r="F392" s="112">
        <v>222.52300000000002</v>
      </c>
      <c r="G392" s="112">
        <v>7.0000000000000007E-2</v>
      </c>
      <c r="H392" s="122">
        <v>1690.8050000000001</v>
      </c>
      <c r="I392" s="112">
        <v>43.085000000000001</v>
      </c>
      <c r="J392" s="112">
        <v>147.65300000000002</v>
      </c>
      <c r="K392" s="112">
        <v>282.149</v>
      </c>
      <c r="L392" s="112">
        <v>286.63499999999999</v>
      </c>
      <c r="M392" s="112">
        <v>129.31299999999999</v>
      </c>
      <c r="N392" s="112">
        <v>7.7690000000000001</v>
      </c>
      <c r="O392" s="122">
        <v>896.60699999999997</v>
      </c>
      <c r="P392" s="112">
        <v>90.798000000000002</v>
      </c>
      <c r="Q392" s="112">
        <v>393.28899999999999</v>
      </c>
      <c r="R392" s="112">
        <v>935.62400000000002</v>
      </c>
      <c r="S392" s="112">
        <v>808.02499999999998</v>
      </c>
      <c r="T392" s="112">
        <v>351.83600000000001</v>
      </c>
      <c r="U392" s="112">
        <v>7.8390000000000004</v>
      </c>
      <c r="V392" s="112">
        <v>2587.4120000000003</v>
      </c>
    </row>
    <row r="393" spans="1:22" x14ac:dyDescent="0.2">
      <c r="A393" s="47" t="s">
        <v>78</v>
      </c>
      <c r="B393" s="112">
        <v>16.518999999999998</v>
      </c>
      <c r="C393" s="112">
        <v>81.453000000000003</v>
      </c>
      <c r="D393" s="112">
        <v>212.93600000000001</v>
      </c>
      <c r="E393" s="112">
        <v>177.01499999999999</v>
      </c>
      <c r="F393" s="112">
        <v>80.158000000000001</v>
      </c>
      <c r="G393" s="112">
        <v>2.1000000000000001E-2</v>
      </c>
      <c r="H393" s="122">
        <v>568.10599999999999</v>
      </c>
      <c r="I393" s="112">
        <v>14.62</v>
      </c>
      <c r="J393" s="112">
        <v>50.48</v>
      </c>
      <c r="K393" s="112">
        <v>102.13800000000001</v>
      </c>
      <c r="L393" s="112">
        <v>104.011</v>
      </c>
      <c r="M393" s="112">
        <v>43.209000000000003</v>
      </c>
      <c r="N393" s="112">
        <v>2.4830000000000001</v>
      </c>
      <c r="O393" s="122">
        <v>316.94400000000002</v>
      </c>
      <c r="P393" s="112">
        <v>31.138999999999999</v>
      </c>
      <c r="Q393" s="112">
        <v>131.93299999999999</v>
      </c>
      <c r="R393" s="112">
        <v>315.07400000000001</v>
      </c>
      <c r="S393" s="112">
        <v>281.02600000000001</v>
      </c>
      <c r="T393" s="112">
        <v>123.367</v>
      </c>
      <c r="U393" s="112">
        <v>2.504</v>
      </c>
      <c r="V393" s="112">
        <v>885.05</v>
      </c>
    </row>
    <row r="394" spans="1:22" x14ac:dyDescent="0.2">
      <c r="A394" s="47" t="s">
        <v>79</v>
      </c>
      <c r="B394" s="112">
        <v>16.242000000000001</v>
      </c>
      <c r="C394" s="112">
        <v>84.096000000000004</v>
      </c>
      <c r="D394" s="112">
        <v>218.00700000000001</v>
      </c>
      <c r="E394" s="112">
        <v>182.04300000000001</v>
      </c>
      <c r="F394" s="112">
        <v>83.867999999999995</v>
      </c>
      <c r="G394" s="112">
        <v>0</v>
      </c>
      <c r="H394" s="122">
        <v>584.25900000000001</v>
      </c>
      <c r="I394" s="112">
        <v>14.785</v>
      </c>
      <c r="J394" s="112">
        <v>46.460999999999999</v>
      </c>
      <c r="K394" s="112">
        <v>92.418999999999997</v>
      </c>
      <c r="L394" s="112">
        <v>108.979</v>
      </c>
      <c r="M394" s="112">
        <v>50.063000000000002</v>
      </c>
      <c r="N394" s="112">
        <v>2.3959999999999999</v>
      </c>
      <c r="O394" s="122">
        <v>315.10000000000002</v>
      </c>
      <c r="P394" s="112">
        <v>31.027000000000001</v>
      </c>
      <c r="Q394" s="112">
        <v>130.55700000000002</v>
      </c>
      <c r="R394" s="112">
        <v>310.42599999999999</v>
      </c>
      <c r="S394" s="112">
        <v>291.02199999999999</v>
      </c>
      <c r="T394" s="112">
        <v>133.93099999999998</v>
      </c>
      <c r="U394" s="112">
        <v>2.3959999999999999</v>
      </c>
      <c r="V394" s="112">
        <v>899.35900000000004</v>
      </c>
    </row>
    <row r="395" spans="1:22" x14ac:dyDescent="0.2">
      <c r="A395" s="47" t="s">
        <v>89</v>
      </c>
      <c r="B395" s="112">
        <v>18.53</v>
      </c>
      <c r="C395" s="112">
        <v>90.363</v>
      </c>
      <c r="D395" s="112">
        <v>219.79400000000001</v>
      </c>
      <c r="E395" s="112">
        <v>183.41399999999999</v>
      </c>
      <c r="F395" s="112">
        <v>78.548000000000002</v>
      </c>
      <c r="G395" s="112">
        <v>0</v>
      </c>
      <c r="H395" s="122">
        <v>590.64800000000002</v>
      </c>
      <c r="I395" s="112">
        <v>17.533000000000001</v>
      </c>
      <c r="J395" s="112">
        <v>53.747999999999998</v>
      </c>
      <c r="K395" s="112">
        <v>95.543999999999997</v>
      </c>
      <c r="L395" s="112">
        <v>106.99</v>
      </c>
      <c r="M395" s="112">
        <v>52.414000000000001</v>
      </c>
      <c r="N395" s="112">
        <v>2.9209999999999998</v>
      </c>
      <c r="O395" s="122">
        <v>329.15100000000001</v>
      </c>
      <c r="P395" s="112">
        <v>36.063000000000002</v>
      </c>
      <c r="Q395" s="112">
        <v>144.11099999999999</v>
      </c>
      <c r="R395" s="112">
        <v>315.33800000000002</v>
      </c>
      <c r="S395" s="112">
        <v>290.404</v>
      </c>
      <c r="T395" s="112">
        <v>130.96199999999999</v>
      </c>
      <c r="U395" s="112">
        <v>2.9209999999999998</v>
      </c>
      <c r="V395" s="112">
        <v>919.79899999999998</v>
      </c>
    </row>
    <row r="396" spans="1:22" x14ac:dyDescent="0.2">
      <c r="A396" s="47" t="s">
        <v>80</v>
      </c>
      <c r="B396" s="112">
        <v>51.290999999999997</v>
      </c>
      <c r="C396" s="112">
        <v>255.91200000000001</v>
      </c>
      <c r="D396" s="112">
        <v>650.73699999999997</v>
      </c>
      <c r="E396" s="112">
        <v>542.47199999999998</v>
      </c>
      <c r="F396" s="112">
        <v>242.57400000000001</v>
      </c>
      <c r="G396" s="112">
        <v>2.1000000000000001E-2</v>
      </c>
      <c r="H396" s="122">
        <v>1743.0129999999999</v>
      </c>
      <c r="I396" s="112">
        <v>46.938000000000002</v>
      </c>
      <c r="J396" s="112">
        <v>150.68899999999999</v>
      </c>
      <c r="K396" s="112">
        <v>290.101</v>
      </c>
      <c r="L396" s="112">
        <v>319.98</v>
      </c>
      <c r="M396" s="112">
        <v>145.68600000000001</v>
      </c>
      <c r="N396" s="112">
        <v>7.7999999999999989</v>
      </c>
      <c r="O396" s="122">
        <v>961.19500000000016</v>
      </c>
      <c r="P396" s="112">
        <v>98.228999999999999</v>
      </c>
      <c r="Q396" s="112">
        <v>406.601</v>
      </c>
      <c r="R396" s="112">
        <v>940.83799999999997</v>
      </c>
      <c r="S396" s="112">
        <v>862.452</v>
      </c>
      <c r="T396" s="112">
        <v>388.26</v>
      </c>
      <c r="U396" s="112">
        <v>7.8209999999999997</v>
      </c>
      <c r="V396" s="112">
        <v>2704.2080000000001</v>
      </c>
    </row>
    <row r="397" spans="1:22" x14ac:dyDescent="0.2">
      <c r="A397" s="47" t="s">
        <v>90</v>
      </c>
      <c r="B397" s="112">
        <v>15.52</v>
      </c>
      <c r="C397" s="112">
        <v>79.278000000000006</v>
      </c>
      <c r="D397" s="112">
        <v>224.84899999999999</v>
      </c>
      <c r="E397" s="112">
        <v>176.512</v>
      </c>
      <c r="F397" s="112">
        <v>76.840999999999994</v>
      </c>
      <c r="G397" s="112">
        <v>0</v>
      </c>
      <c r="H397" s="122">
        <v>573.00199999999995</v>
      </c>
      <c r="I397" s="112">
        <v>14.356999999999999</v>
      </c>
      <c r="J397" s="112">
        <v>46.445</v>
      </c>
      <c r="K397" s="112">
        <v>98.611999999999995</v>
      </c>
      <c r="L397" s="112">
        <v>109.723</v>
      </c>
      <c r="M397" s="112">
        <v>47.247999999999998</v>
      </c>
      <c r="N397" s="112">
        <v>2.302</v>
      </c>
      <c r="O397" s="122">
        <v>318.68799999999999</v>
      </c>
      <c r="P397" s="112">
        <v>29.876999999999999</v>
      </c>
      <c r="Q397" s="112">
        <v>125.72300000000001</v>
      </c>
      <c r="R397" s="112">
        <v>323.46100000000001</v>
      </c>
      <c r="S397" s="112">
        <v>286.23500000000001</v>
      </c>
      <c r="T397" s="112">
        <v>124.089</v>
      </c>
      <c r="U397" s="112">
        <v>2.302</v>
      </c>
      <c r="V397" s="112">
        <v>891.68999999999994</v>
      </c>
    </row>
    <row r="398" spans="1:22" x14ac:dyDescent="0.2">
      <c r="A398" s="47" t="s">
        <v>81</v>
      </c>
      <c r="B398" s="112">
        <v>16.72</v>
      </c>
      <c r="C398" s="112">
        <v>89.076999999999998</v>
      </c>
      <c r="D398" s="112">
        <v>232.96</v>
      </c>
      <c r="E398" s="112">
        <v>178.47300000000001</v>
      </c>
      <c r="F398" s="112">
        <v>78.424999999999997</v>
      </c>
      <c r="G398" s="112">
        <v>0</v>
      </c>
      <c r="H398" s="122">
        <v>595.65099999999995</v>
      </c>
      <c r="I398" s="112">
        <v>13.481</v>
      </c>
      <c r="J398" s="112">
        <v>48.033999999999999</v>
      </c>
      <c r="K398" s="112">
        <v>95.698999999999998</v>
      </c>
      <c r="L398" s="112">
        <v>108.312</v>
      </c>
      <c r="M398" s="112">
        <v>44.654000000000003</v>
      </c>
      <c r="N398" s="112">
        <v>5.5060000000000002</v>
      </c>
      <c r="O398" s="122">
        <v>315.685</v>
      </c>
      <c r="P398" s="112">
        <v>30.201000000000001</v>
      </c>
      <c r="Q398" s="112">
        <v>137.11099999999999</v>
      </c>
      <c r="R398" s="112">
        <v>328.65899999999999</v>
      </c>
      <c r="S398" s="112">
        <v>286.78500000000003</v>
      </c>
      <c r="T398" s="112">
        <v>123.07900000000001</v>
      </c>
      <c r="U398" s="112">
        <v>5.5060000000000002</v>
      </c>
      <c r="V398" s="112">
        <v>911.33600000000001</v>
      </c>
    </row>
    <row r="399" spans="1:22" x14ac:dyDescent="0.2">
      <c r="A399" s="47" t="s">
        <v>82</v>
      </c>
      <c r="B399" s="112">
        <v>19.648</v>
      </c>
      <c r="C399" s="112">
        <v>101.455</v>
      </c>
      <c r="D399" s="112">
        <v>222.126</v>
      </c>
      <c r="E399" s="112">
        <v>180.011</v>
      </c>
      <c r="F399" s="112">
        <v>76.727999999999994</v>
      </c>
      <c r="G399" s="112">
        <v>0.21</v>
      </c>
      <c r="H399" s="122">
        <v>600.17399999999998</v>
      </c>
      <c r="I399" s="112">
        <v>17.22</v>
      </c>
      <c r="J399" s="112">
        <v>58.567</v>
      </c>
      <c r="K399" s="112">
        <v>103.111</v>
      </c>
      <c r="L399" s="112">
        <v>112.203</v>
      </c>
      <c r="M399" s="112">
        <v>57.171999999999997</v>
      </c>
      <c r="N399" s="112">
        <v>2.2829999999999999</v>
      </c>
      <c r="O399" s="122">
        <v>350.55399999999997</v>
      </c>
      <c r="P399" s="112">
        <v>36.867999999999995</v>
      </c>
      <c r="Q399" s="112">
        <v>160.02199999999999</v>
      </c>
      <c r="R399" s="112">
        <v>325.23700000000002</v>
      </c>
      <c r="S399" s="112">
        <v>292.214</v>
      </c>
      <c r="T399" s="112">
        <v>133.89999999999998</v>
      </c>
      <c r="U399" s="112">
        <v>2.4929999999999999</v>
      </c>
      <c r="V399" s="112">
        <v>950.72799999999995</v>
      </c>
    </row>
    <row r="400" spans="1:22" x14ac:dyDescent="0.2">
      <c r="A400" s="47" t="s">
        <v>83</v>
      </c>
      <c r="B400" s="112">
        <v>51.887999999999991</v>
      </c>
      <c r="C400" s="112">
        <v>269.81</v>
      </c>
      <c r="D400" s="112">
        <v>679.93499999999995</v>
      </c>
      <c r="E400" s="112">
        <v>534.99599999999998</v>
      </c>
      <c r="F400" s="112">
        <v>231.99399999999997</v>
      </c>
      <c r="G400" s="112">
        <v>0.21</v>
      </c>
      <c r="H400" s="122">
        <v>1768.8269999999998</v>
      </c>
      <c r="I400" s="112">
        <v>45.058</v>
      </c>
      <c r="J400" s="112">
        <v>153.04599999999999</v>
      </c>
      <c r="K400" s="112">
        <v>297.42199999999997</v>
      </c>
      <c r="L400" s="112">
        <v>330.238</v>
      </c>
      <c r="M400" s="112">
        <v>149.07400000000001</v>
      </c>
      <c r="N400" s="112">
        <v>10.090999999999999</v>
      </c>
      <c r="O400" s="122">
        <v>984.92700000000002</v>
      </c>
      <c r="P400" s="112">
        <v>96.945999999999998</v>
      </c>
      <c r="Q400" s="112">
        <v>422.85599999999999</v>
      </c>
      <c r="R400" s="112">
        <v>977.35699999999997</v>
      </c>
      <c r="S400" s="112">
        <v>865.23399999999992</v>
      </c>
      <c r="T400" s="112">
        <v>381.06799999999998</v>
      </c>
      <c r="U400" s="112">
        <v>10.301</v>
      </c>
      <c r="V400" s="112">
        <v>2753.7539999999999</v>
      </c>
    </row>
    <row r="401" spans="1:22" x14ac:dyDescent="0.2">
      <c r="A401" s="47" t="s">
        <v>85</v>
      </c>
      <c r="B401" s="112">
        <v>17.405000000000001</v>
      </c>
      <c r="C401" s="112">
        <v>87.436999999999998</v>
      </c>
      <c r="D401" s="112">
        <v>243.15899999999999</v>
      </c>
      <c r="E401" s="112">
        <v>194.114</v>
      </c>
      <c r="F401" s="112">
        <v>82.236000000000004</v>
      </c>
      <c r="G401" s="112">
        <v>0</v>
      </c>
      <c r="H401" s="122">
        <v>624.35199999999998</v>
      </c>
      <c r="I401" s="112">
        <v>17.042000000000002</v>
      </c>
      <c r="J401" s="112">
        <v>53.765999999999998</v>
      </c>
      <c r="K401" s="112">
        <v>115.23699999999999</v>
      </c>
      <c r="L401" s="112">
        <v>121.27</v>
      </c>
      <c r="M401" s="112">
        <v>54.988</v>
      </c>
      <c r="N401" s="112">
        <v>2.0379999999999998</v>
      </c>
      <c r="O401" s="122">
        <v>364.34199999999998</v>
      </c>
      <c r="P401" s="112">
        <v>34.447000000000003</v>
      </c>
      <c r="Q401" s="112">
        <v>141.203</v>
      </c>
      <c r="R401" s="112">
        <v>358.39599999999996</v>
      </c>
      <c r="S401" s="112">
        <v>315.38400000000001</v>
      </c>
      <c r="T401" s="112">
        <v>137.22399999999999</v>
      </c>
      <c r="U401" s="112">
        <v>2.0379999999999998</v>
      </c>
      <c r="V401" s="112">
        <v>988.69399999999996</v>
      </c>
    </row>
    <row r="402" spans="1:22" x14ac:dyDescent="0.2">
      <c r="A402" s="47" t="s">
        <v>86</v>
      </c>
      <c r="B402" s="112">
        <v>16.966000000000001</v>
      </c>
      <c r="C402" s="112">
        <v>83.463999999999999</v>
      </c>
      <c r="D402" s="112">
        <v>201.76900000000001</v>
      </c>
      <c r="E402" s="112">
        <v>172.511</v>
      </c>
      <c r="F402" s="112">
        <v>70.763000000000005</v>
      </c>
      <c r="G402" s="112">
        <v>0</v>
      </c>
      <c r="H402" s="122">
        <v>545.47</v>
      </c>
      <c r="I402" s="112">
        <v>16.251999999999999</v>
      </c>
      <c r="J402" s="112">
        <v>50.048999999999999</v>
      </c>
      <c r="K402" s="112">
        <v>102.593</v>
      </c>
      <c r="L402" s="112">
        <v>115.233</v>
      </c>
      <c r="M402" s="112">
        <v>48.726999999999997</v>
      </c>
      <c r="N402" s="112">
        <v>2.1949999999999998</v>
      </c>
      <c r="O402" s="122">
        <v>335.05</v>
      </c>
      <c r="P402" s="112">
        <v>33.218000000000004</v>
      </c>
      <c r="Q402" s="112">
        <v>133.51300000000001</v>
      </c>
      <c r="R402" s="112">
        <v>304.36200000000002</v>
      </c>
      <c r="S402" s="112">
        <v>287.74400000000003</v>
      </c>
      <c r="T402" s="112">
        <v>119.49000000000001</v>
      </c>
      <c r="U402" s="112">
        <v>2.1949999999999998</v>
      </c>
      <c r="V402" s="112">
        <v>880.52</v>
      </c>
    </row>
    <row r="403" spans="1:22" x14ac:dyDescent="0.2">
      <c r="A403" s="47" t="s">
        <v>87</v>
      </c>
      <c r="B403" s="112">
        <v>15.882999999999999</v>
      </c>
      <c r="C403" s="112">
        <v>86.805999999999997</v>
      </c>
      <c r="D403" s="112">
        <v>189.36</v>
      </c>
      <c r="E403" s="112">
        <v>163.13800000000001</v>
      </c>
      <c r="F403" s="112">
        <v>67.855999999999995</v>
      </c>
      <c r="G403" s="112">
        <v>0</v>
      </c>
      <c r="H403" s="122">
        <v>523.04100000000005</v>
      </c>
      <c r="I403" s="112">
        <v>16.437000000000001</v>
      </c>
      <c r="J403" s="112">
        <v>48.973999999999997</v>
      </c>
      <c r="K403" s="112">
        <v>110.758</v>
      </c>
      <c r="L403" s="112">
        <v>107.779</v>
      </c>
      <c r="M403" s="112">
        <v>47.652000000000001</v>
      </c>
      <c r="N403" s="112">
        <v>2.2229999999999999</v>
      </c>
      <c r="O403" s="122">
        <v>333.82400000000001</v>
      </c>
      <c r="P403" s="112">
        <v>32.32</v>
      </c>
      <c r="Q403" s="112">
        <v>135.78</v>
      </c>
      <c r="R403" s="112">
        <v>300.11799999999999</v>
      </c>
      <c r="S403" s="112">
        <v>270.91700000000003</v>
      </c>
      <c r="T403" s="112">
        <v>115.508</v>
      </c>
      <c r="U403" s="112">
        <v>2.2229999999999999</v>
      </c>
      <c r="V403" s="112">
        <v>856.86500000000001</v>
      </c>
    </row>
    <row r="404" spans="1:22" x14ac:dyDescent="0.2">
      <c r="A404" s="47" t="s">
        <v>84</v>
      </c>
      <c r="B404" s="112">
        <v>50.254000000000005</v>
      </c>
      <c r="C404" s="112">
        <v>257.70699999999999</v>
      </c>
      <c r="D404" s="112">
        <v>634.28800000000001</v>
      </c>
      <c r="E404" s="112">
        <v>529.76300000000003</v>
      </c>
      <c r="F404" s="112">
        <v>220.85500000000002</v>
      </c>
      <c r="G404" s="112">
        <v>0</v>
      </c>
      <c r="H404" s="122">
        <v>1692.8630000000003</v>
      </c>
      <c r="I404" s="112">
        <v>49.730999999999995</v>
      </c>
      <c r="J404" s="112">
        <v>152.78899999999999</v>
      </c>
      <c r="K404" s="112">
        <v>328.58799999999997</v>
      </c>
      <c r="L404" s="112">
        <v>344.28199999999998</v>
      </c>
      <c r="M404" s="112">
        <v>151.36700000000002</v>
      </c>
      <c r="N404" s="112">
        <v>6.4559999999999995</v>
      </c>
      <c r="O404" s="122">
        <v>1033.2160000000001</v>
      </c>
      <c r="P404" s="112">
        <v>99.985000000000014</v>
      </c>
      <c r="Q404" s="112">
        <v>410.49599999999998</v>
      </c>
      <c r="R404" s="112">
        <v>962.87599999999998</v>
      </c>
      <c r="S404" s="112">
        <v>874.04500000000007</v>
      </c>
      <c r="T404" s="112">
        <v>372.22199999999998</v>
      </c>
      <c r="U404" s="112">
        <v>6.4559999999999995</v>
      </c>
      <c r="V404" s="112">
        <v>2726.0789999999997</v>
      </c>
    </row>
    <row r="405" spans="1:22" x14ac:dyDescent="0.2">
      <c r="A405" s="47"/>
      <c r="B405" s="112"/>
      <c r="C405" s="112"/>
      <c r="D405" s="112"/>
      <c r="E405" s="112"/>
      <c r="F405" s="112"/>
      <c r="G405" s="112"/>
      <c r="H405" s="122"/>
      <c r="I405" s="112"/>
      <c r="J405" s="112"/>
      <c r="K405" s="112"/>
      <c r="L405" s="112"/>
      <c r="M405" s="112"/>
      <c r="N405" s="112"/>
      <c r="O405" s="122"/>
      <c r="P405" s="112"/>
      <c r="Q405" s="112"/>
      <c r="R405" s="112"/>
      <c r="S405" s="112"/>
      <c r="T405" s="112"/>
      <c r="U405" s="112"/>
      <c r="V405" s="112"/>
    </row>
    <row r="406" spans="1:22" x14ac:dyDescent="0.2">
      <c r="A406" s="47">
        <v>2020</v>
      </c>
      <c r="B406" s="112"/>
      <c r="C406" s="112"/>
      <c r="D406" s="112"/>
      <c r="E406" s="112"/>
      <c r="F406" s="112"/>
      <c r="G406" s="112"/>
      <c r="H406" s="122"/>
      <c r="I406" s="112"/>
      <c r="J406" s="112"/>
      <c r="K406" s="112"/>
      <c r="L406" s="112"/>
      <c r="M406" s="112"/>
      <c r="N406" s="112"/>
      <c r="O406" s="122"/>
      <c r="P406" s="112"/>
      <c r="Q406" s="112"/>
      <c r="R406" s="112"/>
      <c r="S406" s="112"/>
      <c r="T406" s="112"/>
      <c r="U406" s="112"/>
      <c r="V406" s="112"/>
    </row>
    <row r="407" spans="1:22" x14ac:dyDescent="0.2">
      <c r="A407" s="47" t="s">
        <v>74</v>
      </c>
      <c r="B407" s="112">
        <v>14.852</v>
      </c>
      <c r="C407" s="112">
        <v>73.754000000000005</v>
      </c>
      <c r="D407" s="112">
        <v>215.55199999999999</v>
      </c>
      <c r="E407" s="112">
        <v>172.982</v>
      </c>
      <c r="F407" s="112">
        <v>66.114999999999995</v>
      </c>
      <c r="G407" s="112">
        <v>0</v>
      </c>
      <c r="H407" s="122">
        <v>543.25300000000004</v>
      </c>
      <c r="I407" s="112">
        <v>13.577</v>
      </c>
      <c r="J407" s="112">
        <v>42.228000000000002</v>
      </c>
      <c r="K407" s="112">
        <v>85.069000000000003</v>
      </c>
      <c r="L407" s="112">
        <v>101.605</v>
      </c>
      <c r="M407" s="112">
        <v>38.332999999999998</v>
      </c>
      <c r="N407" s="112">
        <v>2.5169999999999999</v>
      </c>
      <c r="O407" s="122">
        <v>283.33100000000002</v>
      </c>
      <c r="P407" s="112">
        <v>28.429000000000002</v>
      </c>
      <c r="Q407" s="112">
        <v>115.982</v>
      </c>
      <c r="R407" s="112">
        <v>300.62099999999998</v>
      </c>
      <c r="S407" s="112">
        <v>274.58699999999999</v>
      </c>
      <c r="T407" s="112">
        <v>104.44799999999999</v>
      </c>
      <c r="U407" s="112">
        <v>2.5169999999999999</v>
      </c>
      <c r="V407" s="112">
        <v>826.58400000000006</v>
      </c>
    </row>
    <row r="408" spans="1:22" x14ac:dyDescent="0.2">
      <c r="A408" s="47" t="s">
        <v>75</v>
      </c>
      <c r="B408" s="112">
        <v>15.694000000000001</v>
      </c>
      <c r="C408" s="112">
        <v>77.301000000000002</v>
      </c>
      <c r="D408" s="112">
        <v>187.55099999999999</v>
      </c>
      <c r="E408" s="112">
        <v>162.53899999999999</v>
      </c>
      <c r="F408" s="112">
        <v>63.064999999999998</v>
      </c>
      <c r="G408" s="112">
        <v>5.0000000000000001E-3</v>
      </c>
      <c r="H408" s="122">
        <v>506.15300000000002</v>
      </c>
      <c r="I408" s="112">
        <v>14.847</v>
      </c>
      <c r="J408" s="112">
        <v>45.18</v>
      </c>
      <c r="K408" s="112">
        <v>93.656000000000006</v>
      </c>
      <c r="L408" s="112">
        <v>96.623999999999995</v>
      </c>
      <c r="M408" s="112">
        <v>38.762</v>
      </c>
      <c r="N408" s="112">
        <v>2.694</v>
      </c>
      <c r="O408" s="122">
        <v>291.76499999999999</v>
      </c>
      <c r="P408" s="112">
        <v>30.541</v>
      </c>
      <c r="Q408" s="112">
        <v>122.48099999999999</v>
      </c>
      <c r="R408" s="112">
        <v>281.20699999999999</v>
      </c>
      <c r="S408" s="112">
        <v>259.16300000000001</v>
      </c>
      <c r="T408" s="112">
        <v>101.827</v>
      </c>
      <c r="U408" s="112">
        <v>2.6989999999999998</v>
      </c>
      <c r="V408" s="112">
        <v>797.91800000000001</v>
      </c>
    </row>
    <row r="409" spans="1:22" x14ac:dyDescent="0.2">
      <c r="A409" s="47" t="s">
        <v>76</v>
      </c>
      <c r="B409" s="112">
        <v>19.827999999999999</v>
      </c>
      <c r="C409" s="112">
        <v>89.094999999999999</v>
      </c>
      <c r="D409" s="112">
        <v>199.56899999999999</v>
      </c>
      <c r="E409" s="112">
        <v>176.852</v>
      </c>
      <c r="F409" s="112">
        <v>83.058999999999997</v>
      </c>
      <c r="G409" s="112">
        <v>0</v>
      </c>
      <c r="H409" s="122">
        <v>568.40300000000002</v>
      </c>
      <c r="I409" s="112">
        <v>19.082000000000001</v>
      </c>
      <c r="J409" s="112">
        <v>57.423999999999999</v>
      </c>
      <c r="K409" s="112">
        <v>123.71</v>
      </c>
      <c r="L409" s="112">
        <v>139.41399999999999</v>
      </c>
      <c r="M409" s="112">
        <v>67.293000000000006</v>
      </c>
      <c r="N409" s="112">
        <v>3.891</v>
      </c>
      <c r="O409" s="122">
        <v>410.81700000000001</v>
      </c>
      <c r="P409" s="112">
        <v>38.909999999999997</v>
      </c>
      <c r="Q409" s="112">
        <v>146.51900000000001</v>
      </c>
      <c r="R409" s="112">
        <v>323.279</v>
      </c>
      <c r="S409" s="112">
        <v>316.26600000000002</v>
      </c>
      <c r="T409" s="112">
        <v>150.352</v>
      </c>
      <c r="U409" s="112">
        <v>3.891</v>
      </c>
      <c r="V409" s="112">
        <v>979.22</v>
      </c>
    </row>
    <row r="410" spans="1:22" x14ac:dyDescent="0.2">
      <c r="A410" s="47" t="s">
        <v>77</v>
      </c>
      <c r="B410" s="112">
        <v>50.373999999999995</v>
      </c>
      <c r="C410" s="112">
        <v>240.15</v>
      </c>
      <c r="D410" s="112">
        <v>602.67199999999991</v>
      </c>
      <c r="E410" s="112">
        <v>512.37299999999993</v>
      </c>
      <c r="F410" s="112">
        <v>212.239</v>
      </c>
      <c r="G410" s="112">
        <v>5.0000000000000001E-3</v>
      </c>
      <c r="H410" s="122">
        <v>1617.809</v>
      </c>
      <c r="I410" s="112">
        <v>47.506</v>
      </c>
      <c r="J410" s="112">
        <v>144.83199999999999</v>
      </c>
      <c r="K410" s="112">
        <v>302.435</v>
      </c>
      <c r="L410" s="112">
        <v>337.64299999999997</v>
      </c>
      <c r="M410" s="112">
        <v>144.38800000000001</v>
      </c>
      <c r="N410" s="112">
        <v>9.1020000000000003</v>
      </c>
      <c r="O410" s="122">
        <v>985.91300000000001</v>
      </c>
      <c r="P410" s="112">
        <v>97.88</v>
      </c>
      <c r="Q410" s="112">
        <v>384.98199999999997</v>
      </c>
      <c r="R410" s="112">
        <v>905.10699999999997</v>
      </c>
      <c r="S410" s="112">
        <v>850.01600000000008</v>
      </c>
      <c r="T410" s="112">
        <v>356.62699999999995</v>
      </c>
      <c r="U410" s="112">
        <v>9.1069999999999993</v>
      </c>
      <c r="V410" s="112">
        <v>2603.7219999999998</v>
      </c>
    </row>
    <row r="411" spans="1:22" x14ac:dyDescent="0.2">
      <c r="A411" s="47" t="s">
        <v>78</v>
      </c>
      <c r="B411" s="112">
        <v>14.715999999999999</v>
      </c>
      <c r="C411" s="112">
        <v>68.531999999999996</v>
      </c>
      <c r="D411" s="112">
        <v>182.774</v>
      </c>
      <c r="E411" s="112">
        <v>146.01400000000001</v>
      </c>
      <c r="F411" s="112">
        <v>63.204000000000001</v>
      </c>
      <c r="G411" s="112">
        <v>0</v>
      </c>
      <c r="H411" s="122">
        <v>475.23899999999998</v>
      </c>
      <c r="I411" s="112">
        <v>12.391</v>
      </c>
      <c r="J411" s="112">
        <v>36.926000000000002</v>
      </c>
      <c r="K411" s="112">
        <v>95.436999999999998</v>
      </c>
      <c r="L411" s="112">
        <v>90.39</v>
      </c>
      <c r="M411" s="112">
        <v>51.994999999999997</v>
      </c>
      <c r="N411" s="112">
        <v>2.1840000000000002</v>
      </c>
      <c r="O411" s="122">
        <v>289.322</v>
      </c>
      <c r="P411" s="112">
        <v>27.106999999999999</v>
      </c>
      <c r="Q411" s="112">
        <v>105.458</v>
      </c>
      <c r="R411" s="112">
        <v>278.21100000000001</v>
      </c>
      <c r="S411" s="112">
        <v>236.404</v>
      </c>
      <c r="T411" s="112">
        <v>115.199</v>
      </c>
      <c r="U411" s="112">
        <v>2.1840000000000002</v>
      </c>
      <c r="V411" s="112">
        <v>764.56099999999992</v>
      </c>
    </row>
    <row r="412" spans="1:22" x14ac:dyDescent="0.2">
      <c r="A412" s="47" t="s">
        <v>79</v>
      </c>
      <c r="B412" s="112">
        <v>17.233000000000001</v>
      </c>
      <c r="C412" s="112">
        <v>72.545000000000002</v>
      </c>
      <c r="D412" s="112">
        <v>170.53399999999999</v>
      </c>
      <c r="E412" s="112">
        <v>156.16399999999999</v>
      </c>
      <c r="F412" s="112">
        <v>65.44</v>
      </c>
      <c r="G412" s="112">
        <v>4.2999999999999997E-2</v>
      </c>
      <c r="H412" s="122">
        <v>481.95699999999999</v>
      </c>
      <c r="I412" s="112">
        <v>14.986000000000001</v>
      </c>
      <c r="J412" s="112">
        <v>45.255000000000003</v>
      </c>
      <c r="K412" s="112">
        <v>89.162999999999997</v>
      </c>
      <c r="L412" s="112">
        <v>105.887</v>
      </c>
      <c r="M412" s="112">
        <v>55.561999999999998</v>
      </c>
      <c r="N412" s="112">
        <v>2.9870000000000001</v>
      </c>
      <c r="O412" s="122">
        <v>313.839</v>
      </c>
      <c r="P412" s="112">
        <v>32.219000000000001</v>
      </c>
      <c r="Q412" s="112">
        <v>117.80000000000001</v>
      </c>
      <c r="R412" s="112">
        <v>259.697</v>
      </c>
      <c r="S412" s="112">
        <v>262.05099999999999</v>
      </c>
      <c r="T412" s="112">
        <v>121.002</v>
      </c>
      <c r="U412" s="112">
        <v>3.0300000000000002</v>
      </c>
      <c r="V412" s="112">
        <v>795.79600000000005</v>
      </c>
    </row>
    <row r="413" spans="1:22" x14ac:dyDescent="0.2">
      <c r="A413" s="47" t="s">
        <v>89</v>
      </c>
      <c r="B413" s="112">
        <v>15.624000000000001</v>
      </c>
      <c r="C413" s="112">
        <v>70.242999999999995</v>
      </c>
      <c r="D413" s="112">
        <v>198.37899999999999</v>
      </c>
      <c r="E413" s="112">
        <v>167.81800000000001</v>
      </c>
      <c r="F413" s="112">
        <v>79.715000000000003</v>
      </c>
      <c r="G413" s="112">
        <v>0</v>
      </c>
      <c r="H413" s="122">
        <v>531.77800000000002</v>
      </c>
      <c r="I413" s="112">
        <v>14.747999999999999</v>
      </c>
      <c r="J413" s="112">
        <v>44.454000000000001</v>
      </c>
      <c r="K413" s="112">
        <v>95.451999999999998</v>
      </c>
      <c r="L413" s="112">
        <v>95.119</v>
      </c>
      <c r="M413" s="112">
        <v>50.332000000000001</v>
      </c>
      <c r="N413" s="112">
        <v>2.3069999999999999</v>
      </c>
      <c r="O413" s="122">
        <v>302.41399999999999</v>
      </c>
      <c r="P413" s="112">
        <v>30.372</v>
      </c>
      <c r="Q413" s="112">
        <v>114.697</v>
      </c>
      <c r="R413" s="112">
        <v>293.83100000000002</v>
      </c>
      <c r="S413" s="112">
        <v>262.93700000000001</v>
      </c>
      <c r="T413" s="112">
        <v>130.047</v>
      </c>
      <c r="U413" s="112">
        <v>2.3069999999999999</v>
      </c>
      <c r="V413" s="112">
        <v>834.19200000000001</v>
      </c>
    </row>
    <row r="414" spans="1:22" x14ac:dyDescent="0.2">
      <c r="A414" s="47" t="s">
        <v>80</v>
      </c>
      <c r="B414" s="112">
        <v>47.573</v>
      </c>
      <c r="C414" s="112">
        <v>211.32</v>
      </c>
      <c r="D414" s="112">
        <v>551.68700000000001</v>
      </c>
      <c r="E414" s="112">
        <v>469.99599999999998</v>
      </c>
      <c r="F414" s="112">
        <v>208.35900000000001</v>
      </c>
      <c r="G414" s="112">
        <v>4.2999999999999997E-2</v>
      </c>
      <c r="H414" s="122">
        <v>1488.9739999999999</v>
      </c>
      <c r="I414" s="112">
        <v>42.125</v>
      </c>
      <c r="J414" s="112">
        <v>126.63500000000002</v>
      </c>
      <c r="K414" s="112">
        <v>280.05200000000002</v>
      </c>
      <c r="L414" s="112">
        <v>291.39599999999996</v>
      </c>
      <c r="M414" s="112">
        <v>157.88899999999998</v>
      </c>
      <c r="N414" s="112">
        <v>7.4779999999999998</v>
      </c>
      <c r="O414" s="122">
        <v>905.57500000000005</v>
      </c>
      <c r="P414" s="112">
        <v>89.698000000000008</v>
      </c>
      <c r="Q414" s="112">
        <v>337.95500000000004</v>
      </c>
      <c r="R414" s="112">
        <v>831.73900000000003</v>
      </c>
      <c r="S414" s="112">
        <v>761.39200000000005</v>
      </c>
      <c r="T414" s="112">
        <v>366.24799999999999</v>
      </c>
      <c r="U414" s="112">
        <v>7.5210000000000008</v>
      </c>
      <c r="V414" s="112">
        <v>2394.549</v>
      </c>
    </row>
    <row r="415" spans="1:22" x14ac:dyDescent="0.2">
      <c r="A415" s="47" t="s">
        <v>90</v>
      </c>
      <c r="B415" s="112">
        <v>16.309000000000001</v>
      </c>
      <c r="C415" s="112">
        <v>73.601000000000013</v>
      </c>
      <c r="D415" s="112">
        <v>204.74800000000002</v>
      </c>
      <c r="E415" s="112">
        <v>176.56900000000002</v>
      </c>
      <c r="F415" s="112">
        <v>76.943999999999988</v>
      </c>
      <c r="G415" s="112">
        <v>4.2999999999999997E-2</v>
      </c>
      <c r="H415" s="122">
        <v>548.21400000000006</v>
      </c>
      <c r="I415" s="112">
        <v>14.807</v>
      </c>
      <c r="J415" s="112">
        <v>44.951999999999998</v>
      </c>
      <c r="K415" s="112">
        <v>100.66699999999999</v>
      </c>
      <c r="L415" s="112">
        <v>103.94099999999999</v>
      </c>
      <c r="M415" s="112">
        <v>50.391000000000005</v>
      </c>
      <c r="N415" s="112">
        <v>2.3849999999999998</v>
      </c>
      <c r="O415" s="122">
        <v>317.14299999999997</v>
      </c>
      <c r="P415" s="112">
        <v>31.116</v>
      </c>
      <c r="Q415" s="112">
        <v>118.55300000000001</v>
      </c>
      <c r="R415" s="112">
        <v>305.41500000000002</v>
      </c>
      <c r="S415" s="112">
        <v>280.51</v>
      </c>
      <c r="T415" s="112">
        <v>127.33499999999999</v>
      </c>
      <c r="U415" s="112">
        <v>2.4279999999999999</v>
      </c>
      <c r="V415" s="112">
        <v>865.35699999999997</v>
      </c>
    </row>
    <row r="416" spans="1:22" x14ac:dyDescent="0.2">
      <c r="A416" s="47" t="s">
        <v>81</v>
      </c>
      <c r="B416" s="112">
        <v>19.414000000000001</v>
      </c>
      <c r="C416" s="112">
        <v>80.492999999999995</v>
      </c>
      <c r="D416" s="112">
        <v>189.62</v>
      </c>
      <c r="E416" s="112">
        <v>175.738</v>
      </c>
      <c r="F416" s="112">
        <v>82.6</v>
      </c>
      <c r="G416" s="112">
        <v>2.1000000000000001E-2</v>
      </c>
      <c r="H416" s="122">
        <v>547.88599999999997</v>
      </c>
      <c r="I416" s="112">
        <v>16.672000000000001</v>
      </c>
      <c r="J416" s="112">
        <v>52.213999999999999</v>
      </c>
      <c r="K416" s="112">
        <v>112.82299999999999</v>
      </c>
      <c r="L416" s="112">
        <v>106.343</v>
      </c>
      <c r="M416" s="112">
        <v>63.070999999999998</v>
      </c>
      <c r="N416" s="112">
        <v>3.121</v>
      </c>
      <c r="O416" s="122">
        <v>354.24200000000002</v>
      </c>
      <c r="P416" s="112">
        <v>36.085999999999999</v>
      </c>
      <c r="Q416" s="112">
        <v>132.70699999999999</v>
      </c>
      <c r="R416" s="112">
        <v>302.44299999999998</v>
      </c>
      <c r="S416" s="112">
        <v>282.08100000000002</v>
      </c>
      <c r="T416" s="112">
        <v>145.67099999999999</v>
      </c>
      <c r="U416" s="112">
        <v>3.1419999999999999</v>
      </c>
      <c r="V416" s="112">
        <v>902.12799999999993</v>
      </c>
    </row>
    <row r="417" spans="1:22" x14ac:dyDescent="0.2">
      <c r="A417" s="47" t="s">
        <v>82</v>
      </c>
      <c r="B417" s="112">
        <v>15.385999999999999</v>
      </c>
      <c r="C417" s="112">
        <v>74.668999999999997</v>
      </c>
      <c r="D417" s="112">
        <v>221.61699999999999</v>
      </c>
      <c r="E417" s="112">
        <v>174.57599999999999</v>
      </c>
      <c r="F417" s="112">
        <v>76.546999999999997</v>
      </c>
      <c r="G417" s="112">
        <v>8.5000000000000006E-2</v>
      </c>
      <c r="H417" s="122">
        <v>562.87800000000004</v>
      </c>
      <c r="I417" s="112">
        <v>15.513</v>
      </c>
      <c r="J417" s="112">
        <v>50.896999999999998</v>
      </c>
      <c r="K417" s="112">
        <v>110.384</v>
      </c>
      <c r="L417" s="112">
        <v>108.239</v>
      </c>
      <c r="M417" s="112">
        <v>59.781999999999996</v>
      </c>
      <c r="N417" s="112">
        <v>2.903</v>
      </c>
      <c r="O417" s="122">
        <v>347.71800000000002</v>
      </c>
      <c r="P417" s="112">
        <v>30.899000000000001</v>
      </c>
      <c r="Q417" s="112">
        <v>125.566</v>
      </c>
      <c r="R417" s="112">
        <v>332.00099999999998</v>
      </c>
      <c r="S417" s="112">
        <v>282.815</v>
      </c>
      <c r="T417" s="112">
        <v>136.32900000000001</v>
      </c>
      <c r="U417" s="112">
        <v>2.988</v>
      </c>
      <c r="V417" s="112">
        <v>910.596</v>
      </c>
    </row>
    <row r="418" spans="1:22" x14ac:dyDescent="0.2">
      <c r="A418" s="47" t="s">
        <v>83</v>
      </c>
      <c r="B418" s="112">
        <v>51.108999999999995</v>
      </c>
      <c r="C418" s="112">
        <v>228.76299999999998</v>
      </c>
      <c r="D418" s="112">
        <v>615.98500000000001</v>
      </c>
      <c r="E418" s="112">
        <v>526.88300000000004</v>
      </c>
      <c r="F418" s="112">
        <v>236.09099999999998</v>
      </c>
      <c r="G418" s="112">
        <v>0.14900000000000002</v>
      </c>
      <c r="H418" s="122">
        <v>1658.9780000000001</v>
      </c>
      <c r="I418" s="112">
        <v>46.991999999999997</v>
      </c>
      <c r="J418" s="112">
        <v>148.06299999999999</v>
      </c>
      <c r="K418" s="112">
        <v>323.87399999999997</v>
      </c>
      <c r="L418" s="112">
        <v>318.52300000000002</v>
      </c>
      <c r="M418" s="112">
        <v>173.244</v>
      </c>
      <c r="N418" s="112">
        <v>8.4090000000000007</v>
      </c>
      <c r="O418" s="122">
        <v>1019.1030000000001</v>
      </c>
      <c r="P418" s="112">
        <v>98.100999999999999</v>
      </c>
      <c r="Q418" s="112">
        <v>376.82600000000002</v>
      </c>
      <c r="R418" s="112">
        <v>939.85899999999992</v>
      </c>
      <c r="S418" s="112">
        <v>845.40599999999995</v>
      </c>
      <c r="T418" s="112">
        <v>409.33499999999998</v>
      </c>
      <c r="U418" s="112">
        <v>8.5579999999999998</v>
      </c>
      <c r="V418" s="112">
        <v>2678.0810000000001</v>
      </c>
    </row>
    <row r="419" spans="1:22" x14ac:dyDescent="0.2">
      <c r="A419" s="47" t="s">
        <v>85</v>
      </c>
      <c r="B419" s="112">
        <v>18.401</v>
      </c>
      <c r="C419" s="112">
        <v>72.81</v>
      </c>
      <c r="D419" s="112">
        <v>239.215</v>
      </c>
      <c r="E419" s="112">
        <v>179.39</v>
      </c>
      <c r="F419" s="112">
        <v>78.783000000000001</v>
      </c>
      <c r="G419" s="112">
        <v>6.9000000000000006E-2</v>
      </c>
      <c r="H419" s="122">
        <v>588.66800000000001</v>
      </c>
      <c r="I419" s="112">
        <v>16.553999999999998</v>
      </c>
      <c r="J419" s="112">
        <v>49.899000000000001</v>
      </c>
      <c r="K419" s="112">
        <v>122.428</v>
      </c>
      <c r="L419" s="112">
        <v>114.842</v>
      </c>
      <c r="M419" s="112">
        <v>62.628999999999998</v>
      </c>
      <c r="N419" s="112">
        <v>2.3210000000000002</v>
      </c>
      <c r="O419" s="122">
        <v>368.673</v>
      </c>
      <c r="P419" s="112">
        <v>34.954999999999998</v>
      </c>
      <c r="Q419" s="112">
        <v>122.709</v>
      </c>
      <c r="R419" s="112">
        <v>361.64300000000003</v>
      </c>
      <c r="S419" s="112">
        <v>294.23199999999997</v>
      </c>
      <c r="T419" s="112">
        <v>141.41200000000001</v>
      </c>
      <c r="U419" s="112">
        <v>2.39</v>
      </c>
      <c r="V419" s="112">
        <v>957.34100000000001</v>
      </c>
    </row>
    <row r="420" spans="1:22" x14ac:dyDescent="0.2">
      <c r="A420" s="47" t="s">
        <v>86</v>
      </c>
      <c r="B420" s="112">
        <v>19.445</v>
      </c>
      <c r="C420" s="112">
        <v>73.655000000000001</v>
      </c>
      <c r="D420" s="112">
        <v>207.66399999999999</v>
      </c>
      <c r="E420" s="112">
        <v>168.41499999999999</v>
      </c>
      <c r="F420" s="112">
        <v>76.861999999999995</v>
      </c>
      <c r="G420" s="112">
        <v>0</v>
      </c>
      <c r="H420" s="122">
        <v>546.03899999999999</v>
      </c>
      <c r="I420" s="112">
        <v>16.689</v>
      </c>
      <c r="J420" s="112">
        <v>52.920999999999999</v>
      </c>
      <c r="K420" s="112">
        <v>118.047</v>
      </c>
      <c r="L420" s="112">
        <v>120.04</v>
      </c>
      <c r="M420" s="112">
        <v>65.284000000000006</v>
      </c>
      <c r="N420" s="112">
        <v>3.048</v>
      </c>
      <c r="O420" s="122">
        <v>376.029</v>
      </c>
      <c r="P420" s="112">
        <v>36.134</v>
      </c>
      <c r="Q420" s="112">
        <v>126.57599999999999</v>
      </c>
      <c r="R420" s="112">
        <v>325.71100000000001</v>
      </c>
      <c r="S420" s="112">
        <v>288.45499999999998</v>
      </c>
      <c r="T420" s="112">
        <v>142.14600000000002</v>
      </c>
      <c r="U420" s="112">
        <v>3.048</v>
      </c>
      <c r="V420" s="112">
        <v>922.06799999999998</v>
      </c>
    </row>
    <row r="421" spans="1:22" x14ac:dyDescent="0.2">
      <c r="A421" s="47" t="s">
        <v>87</v>
      </c>
      <c r="B421" s="112">
        <v>14.374000000000001</v>
      </c>
      <c r="C421" s="112">
        <v>61.292999999999999</v>
      </c>
      <c r="D421" s="112">
        <v>195.33600000000001</v>
      </c>
      <c r="E421" s="112">
        <v>150.655</v>
      </c>
      <c r="F421" s="112">
        <v>66.808999999999997</v>
      </c>
      <c r="G421" s="112">
        <v>0</v>
      </c>
      <c r="H421" s="122">
        <v>488.46499999999997</v>
      </c>
      <c r="I421" s="112">
        <v>13.204000000000001</v>
      </c>
      <c r="J421" s="112">
        <v>39.417000000000002</v>
      </c>
      <c r="K421" s="112">
        <v>90.113</v>
      </c>
      <c r="L421" s="112">
        <v>98.76</v>
      </c>
      <c r="M421" s="112">
        <v>52.363</v>
      </c>
      <c r="N421" s="112">
        <v>2.024</v>
      </c>
      <c r="O421" s="122">
        <v>295.88099999999997</v>
      </c>
      <c r="P421" s="112">
        <v>27.578000000000003</v>
      </c>
      <c r="Q421" s="112">
        <v>100.71000000000001</v>
      </c>
      <c r="R421" s="112">
        <v>285.44900000000001</v>
      </c>
      <c r="S421" s="112">
        <v>249.41500000000002</v>
      </c>
      <c r="T421" s="112">
        <v>119.172</v>
      </c>
      <c r="U421" s="112">
        <v>2.024</v>
      </c>
      <c r="V421" s="112">
        <v>784.346</v>
      </c>
    </row>
    <row r="422" spans="1:22" x14ac:dyDescent="0.2">
      <c r="A422" s="47" t="s">
        <v>84</v>
      </c>
      <c r="B422" s="112">
        <v>52.220000000000006</v>
      </c>
      <c r="C422" s="112">
        <v>207.75800000000001</v>
      </c>
      <c r="D422" s="112">
        <v>642.21500000000003</v>
      </c>
      <c r="E422" s="112">
        <v>498.45999999999992</v>
      </c>
      <c r="F422" s="112">
        <v>222.45399999999998</v>
      </c>
      <c r="G422" s="112">
        <v>6.9000000000000006E-2</v>
      </c>
      <c r="H422" s="122">
        <v>1623.1719999999998</v>
      </c>
      <c r="I422" s="112">
        <v>46.446999999999996</v>
      </c>
      <c r="J422" s="112">
        <v>142.23699999999999</v>
      </c>
      <c r="K422" s="112">
        <v>330.58799999999997</v>
      </c>
      <c r="L422" s="112">
        <v>333.642</v>
      </c>
      <c r="M422" s="112">
        <v>180.27600000000001</v>
      </c>
      <c r="N422" s="112">
        <v>7.3929999999999998</v>
      </c>
      <c r="O422" s="122">
        <v>1040.5830000000001</v>
      </c>
      <c r="P422" s="112">
        <v>98.667000000000002</v>
      </c>
      <c r="Q422" s="112">
        <v>349.995</v>
      </c>
      <c r="R422" s="112">
        <v>972.80300000000011</v>
      </c>
      <c r="S422" s="112">
        <v>832.10199999999986</v>
      </c>
      <c r="T422" s="112">
        <v>402.73</v>
      </c>
      <c r="U422" s="112">
        <v>7.4620000000000006</v>
      </c>
      <c r="V422" s="112">
        <v>2663.7550000000001</v>
      </c>
    </row>
    <row r="423" spans="1:22" x14ac:dyDescent="0.2">
      <c r="A423" s="47"/>
      <c r="B423" s="112"/>
      <c r="C423" s="112"/>
      <c r="D423" s="112"/>
      <c r="E423" s="112"/>
      <c r="F423" s="112"/>
      <c r="G423" s="112"/>
      <c r="H423" s="122"/>
      <c r="I423" s="112"/>
      <c r="J423" s="112"/>
      <c r="K423" s="112"/>
      <c r="L423" s="112"/>
      <c r="M423" s="112"/>
      <c r="N423" s="112"/>
      <c r="O423" s="122"/>
      <c r="P423" s="112"/>
      <c r="Q423" s="112"/>
      <c r="R423" s="112"/>
      <c r="S423" s="112"/>
      <c r="T423" s="112"/>
      <c r="U423" s="112"/>
      <c r="V423" s="112"/>
    </row>
    <row r="424" spans="1:22" x14ac:dyDescent="0.2">
      <c r="A424" s="47">
        <v>2021</v>
      </c>
      <c r="B424" s="112"/>
      <c r="C424" s="112"/>
      <c r="D424" s="112"/>
      <c r="E424" s="112"/>
      <c r="F424" s="112"/>
      <c r="G424" s="112"/>
      <c r="H424" s="122"/>
      <c r="I424" s="112"/>
      <c r="J424" s="112"/>
      <c r="K424" s="112"/>
      <c r="L424" s="112"/>
      <c r="M424" s="112"/>
      <c r="N424" s="112"/>
      <c r="O424" s="122"/>
      <c r="P424" s="112"/>
      <c r="Q424" s="112"/>
      <c r="R424" s="112"/>
      <c r="S424" s="112"/>
      <c r="T424" s="112"/>
      <c r="U424" s="112"/>
      <c r="V424" s="112"/>
    </row>
    <row r="425" spans="1:22" x14ac:dyDescent="0.2">
      <c r="A425" s="47" t="s">
        <v>74</v>
      </c>
      <c r="B425" s="112">
        <v>16.754000000000001</v>
      </c>
      <c r="C425" s="112">
        <v>68.314999999999998</v>
      </c>
      <c r="D425" s="112">
        <v>214.27799999999999</v>
      </c>
      <c r="E425" s="112">
        <v>175.108</v>
      </c>
      <c r="F425" s="112">
        <v>67.466999999999999</v>
      </c>
      <c r="G425" s="112">
        <v>0</v>
      </c>
      <c r="H425" s="122">
        <v>541.92100000000005</v>
      </c>
      <c r="I425" s="112">
        <v>13.422000000000001</v>
      </c>
      <c r="J425" s="112">
        <v>46.631</v>
      </c>
      <c r="K425" s="112">
        <v>86.656999999999996</v>
      </c>
      <c r="L425" s="112">
        <v>97.89</v>
      </c>
      <c r="M425" s="112">
        <v>48.31</v>
      </c>
      <c r="N425" s="112">
        <v>2.722</v>
      </c>
      <c r="O425" s="122">
        <v>295.62799999999999</v>
      </c>
      <c r="P425" s="112">
        <v>30.176000000000002</v>
      </c>
      <c r="Q425" s="112">
        <v>114.946</v>
      </c>
      <c r="R425" s="112">
        <v>300.935</v>
      </c>
      <c r="S425" s="112">
        <v>272.99799999999999</v>
      </c>
      <c r="T425" s="112">
        <v>115.777</v>
      </c>
      <c r="U425" s="112">
        <v>2.722</v>
      </c>
      <c r="V425" s="112">
        <v>837.54899999999998</v>
      </c>
    </row>
    <row r="426" spans="1:22" x14ac:dyDescent="0.2">
      <c r="A426" s="47" t="s">
        <v>75</v>
      </c>
      <c r="B426" s="112">
        <v>13.916</v>
      </c>
      <c r="C426" s="112">
        <v>56.417000000000002</v>
      </c>
      <c r="D426" s="112">
        <v>201.357</v>
      </c>
      <c r="E426" s="112">
        <v>152.08199999999999</v>
      </c>
      <c r="F426" s="112">
        <v>69.164000000000001</v>
      </c>
      <c r="G426" s="112">
        <v>0</v>
      </c>
      <c r="H426" s="122">
        <v>492.935</v>
      </c>
      <c r="I426" s="112">
        <v>13.558</v>
      </c>
      <c r="J426" s="112">
        <v>42.805999999999997</v>
      </c>
      <c r="K426" s="112">
        <v>83.525000000000006</v>
      </c>
      <c r="L426" s="112">
        <v>88.397999999999996</v>
      </c>
      <c r="M426" s="112">
        <v>44.383000000000003</v>
      </c>
      <c r="N426" s="112">
        <v>2.19</v>
      </c>
      <c r="O426" s="122">
        <v>274.86200000000002</v>
      </c>
      <c r="P426" s="112">
        <v>27.474</v>
      </c>
      <c r="Q426" s="112">
        <v>99.222999999999999</v>
      </c>
      <c r="R426" s="112">
        <v>284.88200000000001</v>
      </c>
      <c r="S426" s="112">
        <v>240.48</v>
      </c>
      <c r="T426" s="112">
        <v>113.547</v>
      </c>
      <c r="U426" s="112">
        <v>2.19</v>
      </c>
      <c r="V426" s="112">
        <v>767.79700000000003</v>
      </c>
    </row>
    <row r="427" spans="1:22" x14ac:dyDescent="0.2">
      <c r="A427" s="47" t="s">
        <v>76</v>
      </c>
      <c r="B427" s="112">
        <v>16.834</v>
      </c>
      <c r="C427" s="112">
        <v>72.885999999999996</v>
      </c>
      <c r="D427" s="112">
        <v>232.28700000000001</v>
      </c>
      <c r="E427" s="112">
        <v>194.773</v>
      </c>
      <c r="F427" s="112">
        <v>81.775999999999996</v>
      </c>
      <c r="G427" s="112">
        <v>0</v>
      </c>
      <c r="H427" s="122">
        <v>598.55399999999997</v>
      </c>
      <c r="I427" s="112">
        <v>14.616</v>
      </c>
      <c r="J427" s="112">
        <v>52.609000000000002</v>
      </c>
      <c r="K427" s="112">
        <v>105.902</v>
      </c>
      <c r="L427" s="112">
        <v>102.611</v>
      </c>
      <c r="M427" s="112">
        <v>50.645000000000003</v>
      </c>
      <c r="N427" s="112">
        <v>2.5230000000000001</v>
      </c>
      <c r="O427" s="122">
        <v>328.90800000000002</v>
      </c>
      <c r="P427" s="112">
        <v>31.45</v>
      </c>
      <c r="Q427" s="112">
        <v>125.495</v>
      </c>
      <c r="R427" s="112">
        <v>338.18900000000002</v>
      </c>
      <c r="S427" s="112">
        <v>297.38400000000001</v>
      </c>
      <c r="T427" s="112">
        <v>132.42099999999999</v>
      </c>
      <c r="U427" s="112">
        <v>2.5230000000000001</v>
      </c>
      <c r="V427" s="112">
        <v>927.46199999999999</v>
      </c>
    </row>
    <row r="428" spans="1:22" x14ac:dyDescent="0.2">
      <c r="A428" s="47" t="s">
        <v>77</v>
      </c>
      <c r="B428" s="112">
        <v>47.504000000000005</v>
      </c>
      <c r="C428" s="112">
        <v>197.61799999999999</v>
      </c>
      <c r="D428" s="112">
        <v>647.92200000000003</v>
      </c>
      <c r="E428" s="112">
        <v>521.96299999999997</v>
      </c>
      <c r="F428" s="112">
        <v>218.40699999999998</v>
      </c>
      <c r="G428" s="112">
        <v>0</v>
      </c>
      <c r="H428" s="122">
        <v>1633.4099999999999</v>
      </c>
      <c r="I428" s="112">
        <v>41.596000000000004</v>
      </c>
      <c r="J428" s="112">
        <v>142.04599999999999</v>
      </c>
      <c r="K428" s="112">
        <v>276.084</v>
      </c>
      <c r="L428" s="112">
        <v>288.899</v>
      </c>
      <c r="M428" s="112">
        <v>143.33800000000002</v>
      </c>
      <c r="N428" s="112">
        <v>7.4350000000000005</v>
      </c>
      <c r="O428" s="122">
        <v>899.39800000000002</v>
      </c>
      <c r="P428" s="112">
        <v>89.100000000000009</v>
      </c>
      <c r="Q428" s="112">
        <v>339.66399999999999</v>
      </c>
      <c r="R428" s="112">
        <v>924.00600000000009</v>
      </c>
      <c r="S428" s="112">
        <v>810.86199999999997</v>
      </c>
      <c r="T428" s="112">
        <v>361.745</v>
      </c>
      <c r="U428" s="112">
        <v>7.4350000000000005</v>
      </c>
      <c r="V428" s="112">
        <v>2532.808</v>
      </c>
    </row>
    <row r="429" spans="1:22" x14ac:dyDescent="0.2">
      <c r="A429" s="47" t="s">
        <v>78</v>
      </c>
      <c r="B429" s="112">
        <v>16.030999999999999</v>
      </c>
      <c r="C429" s="112">
        <v>65.643000000000001</v>
      </c>
      <c r="D429" s="112">
        <v>215.238</v>
      </c>
      <c r="E429" s="112">
        <v>184.078</v>
      </c>
      <c r="F429" s="112">
        <v>82.084999999999994</v>
      </c>
      <c r="G429" s="112">
        <v>0</v>
      </c>
      <c r="H429" s="122">
        <v>563.07500000000005</v>
      </c>
      <c r="I429" s="112">
        <v>14.097</v>
      </c>
      <c r="J429" s="112">
        <v>47.377000000000002</v>
      </c>
      <c r="K429" s="112">
        <v>92.200999999999993</v>
      </c>
      <c r="L429" s="112">
        <v>96.066000000000003</v>
      </c>
      <c r="M429" s="112">
        <v>50.887</v>
      </c>
      <c r="N429" s="112">
        <v>2.4350000000000001</v>
      </c>
      <c r="O429" s="122">
        <v>303.06</v>
      </c>
      <c r="P429" s="112">
        <v>30.128</v>
      </c>
      <c r="Q429" s="112">
        <v>113.02000000000001</v>
      </c>
      <c r="R429" s="112">
        <v>307.43899999999996</v>
      </c>
      <c r="S429" s="112">
        <v>280.14400000000001</v>
      </c>
      <c r="T429" s="112">
        <v>132.97199999999998</v>
      </c>
      <c r="U429" s="112">
        <v>2.4350000000000001</v>
      </c>
      <c r="V429" s="112">
        <v>866.13499999999999</v>
      </c>
    </row>
    <row r="430" spans="1:22" x14ac:dyDescent="0.2">
      <c r="A430" s="47" t="s">
        <v>79</v>
      </c>
      <c r="B430" s="112">
        <v>19.027000000000001</v>
      </c>
      <c r="C430" s="112">
        <v>73.963999999999999</v>
      </c>
      <c r="D430" s="112">
        <v>204.24</v>
      </c>
      <c r="E430" s="112">
        <v>188.8</v>
      </c>
      <c r="F430" s="112">
        <v>80.492999999999995</v>
      </c>
      <c r="G430" s="112">
        <v>0</v>
      </c>
      <c r="H430" s="122">
        <v>566.52499999999998</v>
      </c>
      <c r="I430" s="112">
        <v>14.865</v>
      </c>
      <c r="J430" s="112">
        <v>49.369</v>
      </c>
      <c r="K430" s="112">
        <v>110.88800000000001</v>
      </c>
      <c r="L430" s="112">
        <v>101.217</v>
      </c>
      <c r="M430" s="112">
        <v>59.893000000000001</v>
      </c>
      <c r="N430" s="112">
        <v>2.3039999999999998</v>
      </c>
      <c r="O430" s="122">
        <v>338.53399999999999</v>
      </c>
      <c r="P430" s="112">
        <v>33.892000000000003</v>
      </c>
      <c r="Q430" s="112">
        <v>123.333</v>
      </c>
      <c r="R430" s="112">
        <v>315.12800000000004</v>
      </c>
      <c r="S430" s="112">
        <v>290.017</v>
      </c>
      <c r="T430" s="112">
        <v>140.386</v>
      </c>
      <c r="U430" s="112">
        <v>2.3039999999999998</v>
      </c>
      <c r="V430" s="112">
        <v>905.05899999999997</v>
      </c>
    </row>
    <row r="431" spans="1:22" x14ac:dyDescent="0.2">
      <c r="A431" s="47" t="s">
        <v>89</v>
      </c>
      <c r="B431" s="112">
        <v>16.771000000000001</v>
      </c>
      <c r="C431" s="112">
        <v>63.918999999999997</v>
      </c>
      <c r="D431" s="112">
        <v>206.113</v>
      </c>
      <c r="E431" s="112">
        <v>181.56899999999999</v>
      </c>
      <c r="F431" s="112">
        <v>87.227000000000004</v>
      </c>
      <c r="G431" s="112">
        <v>0</v>
      </c>
      <c r="H431" s="122">
        <v>555.6</v>
      </c>
      <c r="I431" s="112">
        <v>13.2</v>
      </c>
      <c r="J431" s="112">
        <v>48.981999999999999</v>
      </c>
      <c r="K431" s="112">
        <v>114.598</v>
      </c>
      <c r="L431" s="112">
        <v>97.174000000000007</v>
      </c>
      <c r="M431" s="112">
        <v>54.079000000000001</v>
      </c>
      <c r="N431" s="112">
        <v>2.3460000000000001</v>
      </c>
      <c r="O431" s="122">
        <v>330.37900000000002</v>
      </c>
      <c r="P431" s="112">
        <v>29.971</v>
      </c>
      <c r="Q431" s="112">
        <v>112.901</v>
      </c>
      <c r="R431" s="112">
        <v>320.71100000000001</v>
      </c>
      <c r="S431" s="112">
        <v>278.74299999999999</v>
      </c>
      <c r="T431" s="112">
        <v>141.30600000000001</v>
      </c>
      <c r="U431" s="112">
        <v>2.3460000000000001</v>
      </c>
      <c r="V431" s="112">
        <v>885.97900000000004</v>
      </c>
    </row>
    <row r="432" spans="1:22" x14ac:dyDescent="0.2">
      <c r="A432" s="47" t="s">
        <v>80</v>
      </c>
      <c r="B432" s="112">
        <v>51.829000000000001</v>
      </c>
      <c r="C432" s="112">
        <v>203.52600000000001</v>
      </c>
      <c r="D432" s="112">
        <v>625.59100000000001</v>
      </c>
      <c r="E432" s="112">
        <v>554.447</v>
      </c>
      <c r="F432" s="112">
        <v>249.80499999999998</v>
      </c>
      <c r="G432" s="112">
        <v>0</v>
      </c>
      <c r="H432" s="122">
        <v>1685.1999999999998</v>
      </c>
      <c r="I432" s="112">
        <v>42.161999999999999</v>
      </c>
      <c r="J432" s="112">
        <v>145.72800000000001</v>
      </c>
      <c r="K432" s="112">
        <v>317.68700000000001</v>
      </c>
      <c r="L432" s="112">
        <v>294.45699999999999</v>
      </c>
      <c r="M432" s="112">
        <v>164.85900000000001</v>
      </c>
      <c r="N432" s="112">
        <v>7.085</v>
      </c>
      <c r="O432" s="122">
        <v>971.97300000000007</v>
      </c>
      <c r="P432" s="112">
        <v>93.991000000000014</v>
      </c>
      <c r="Q432" s="112">
        <v>349.25400000000002</v>
      </c>
      <c r="R432" s="112">
        <v>943.27800000000002</v>
      </c>
      <c r="S432" s="112">
        <v>848.904</v>
      </c>
      <c r="T432" s="112">
        <v>414.66399999999999</v>
      </c>
      <c r="U432" s="112">
        <v>7.085</v>
      </c>
      <c r="V432" s="112">
        <v>2657.1729999999998</v>
      </c>
    </row>
    <row r="433" spans="1:22" x14ac:dyDescent="0.2">
      <c r="A433" s="47" t="s">
        <v>90</v>
      </c>
      <c r="B433" s="112">
        <v>16.472999999999999</v>
      </c>
      <c r="C433" s="112">
        <v>63.65</v>
      </c>
      <c r="D433" s="112">
        <v>203.393</v>
      </c>
      <c r="E433" s="112">
        <v>185.43299999999999</v>
      </c>
      <c r="F433" s="112">
        <v>78.88</v>
      </c>
      <c r="G433" s="112">
        <v>0</v>
      </c>
      <c r="H433" s="122">
        <v>547.827</v>
      </c>
      <c r="I433" s="112">
        <v>13.994</v>
      </c>
      <c r="J433" s="112">
        <v>48.869</v>
      </c>
      <c r="K433" s="112">
        <v>108.71899999999999</v>
      </c>
      <c r="L433" s="112">
        <v>102.042</v>
      </c>
      <c r="M433" s="112">
        <v>54.554000000000002</v>
      </c>
      <c r="N433" s="112">
        <v>2.528</v>
      </c>
      <c r="O433" s="122">
        <v>330.70499999999998</v>
      </c>
      <c r="P433" s="112">
        <v>30.466999999999999</v>
      </c>
      <c r="Q433" s="112">
        <v>112.51900000000001</v>
      </c>
      <c r="R433" s="112">
        <v>312.11199999999997</v>
      </c>
      <c r="S433" s="112">
        <v>287.47500000000002</v>
      </c>
      <c r="T433" s="112">
        <v>133.434</v>
      </c>
      <c r="U433" s="112">
        <v>2.528</v>
      </c>
      <c r="V433" s="112">
        <v>878.53199999999993</v>
      </c>
    </row>
    <row r="434" spans="1:22" x14ac:dyDescent="0.2">
      <c r="A434" s="47" t="s">
        <v>81</v>
      </c>
      <c r="B434" s="112">
        <v>25.15</v>
      </c>
      <c r="C434" s="112">
        <v>69.573999999999998</v>
      </c>
      <c r="D434" s="112">
        <v>202.095</v>
      </c>
      <c r="E434" s="112">
        <v>193.602</v>
      </c>
      <c r="F434" s="112">
        <v>81.977000000000004</v>
      </c>
      <c r="G434" s="112">
        <v>2.1000000000000001E-2</v>
      </c>
      <c r="H434" s="122">
        <v>572.41899999999998</v>
      </c>
      <c r="I434" s="112">
        <v>16.141999999999999</v>
      </c>
      <c r="J434" s="112">
        <v>54.835000000000001</v>
      </c>
      <c r="K434" s="112">
        <v>137.28</v>
      </c>
      <c r="L434" s="112">
        <v>111.73099999999999</v>
      </c>
      <c r="M434" s="112">
        <v>69.019000000000005</v>
      </c>
      <c r="N434" s="112">
        <v>2.452</v>
      </c>
      <c r="O434" s="122">
        <v>391.45499999999998</v>
      </c>
      <c r="P434" s="112">
        <v>41.292000000000002</v>
      </c>
      <c r="Q434" s="112">
        <v>124.40899999999999</v>
      </c>
      <c r="R434" s="112">
        <v>339.375</v>
      </c>
      <c r="S434" s="112">
        <v>305.33299999999997</v>
      </c>
      <c r="T434" s="112">
        <v>150.99600000000001</v>
      </c>
      <c r="U434" s="112">
        <v>2.4729999999999999</v>
      </c>
      <c r="V434" s="112">
        <v>963.87400000000002</v>
      </c>
    </row>
    <row r="435" spans="1:22" x14ac:dyDescent="0.2">
      <c r="A435" s="47" t="s">
        <v>82</v>
      </c>
      <c r="B435" s="112">
        <v>17.367000000000001</v>
      </c>
      <c r="C435" s="112">
        <v>67.159000000000006</v>
      </c>
      <c r="D435" s="112">
        <v>207.315</v>
      </c>
      <c r="E435" s="112">
        <v>192.71899999999999</v>
      </c>
      <c r="F435" s="112">
        <v>73.590999999999994</v>
      </c>
      <c r="G435" s="112">
        <v>0</v>
      </c>
      <c r="H435" s="122">
        <v>558.15</v>
      </c>
      <c r="I435" s="112">
        <v>12.728</v>
      </c>
      <c r="J435" s="112">
        <v>52.646999999999998</v>
      </c>
      <c r="K435" s="112">
        <v>105.354</v>
      </c>
      <c r="L435" s="112">
        <v>97.662999999999997</v>
      </c>
      <c r="M435" s="112">
        <v>54.133000000000003</v>
      </c>
      <c r="N435" s="112">
        <v>2.548</v>
      </c>
      <c r="O435" s="122">
        <v>325.06900000000002</v>
      </c>
      <c r="P435" s="112">
        <v>30.094999999999999</v>
      </c>
      <c r="Q435" s="112">
        <v>119.80600000000001</v>
      </c>
      <c r="R435" s="112">
        <v>312.66899999999998</v>
      </c>
      <c r="S435" s="112">
        <v>290.38200000000001</v>
      </c>
      <c r="T435" s="112">
        <v>127.72399999999999</v>
      </c>
      <c r="U435" s="112">
        <v>2.548</v>
      </c>
      <c r="V435" s="112">
        <v>883.21900000000005</v>
      </c>
    </row>
    <row r="436" spans="1:22" x14ac:dyDescent="0.2">
      <c r="A436" s="47" t="s">
        <v>83</v>
      </c>
      <c r="B436" s="112">
        <f>SUM(B433:B435)</f>
        <v>58.989999999999995</v>
      </c>
      <c r="C436" s="112">
        <f t="shared" ref="C436:V436" si="29">SUM(C433:C435)</f>
        <v>200.38299999999998</v>
      </c>
      <c r="D436" s="112">
        <f t="shared" si="29"/>
        <v>612.803</v>
      </c>
      <c r="E436" s="112">
        <f t="shared" si="29"/>
        <v>571.75399999999991</v>
      </c>
      <c r="F436" s="112">
        <f t="shared" si="29"/>
        <v>234.44799999999998</v>
      </c>
      <c r="G436" s="112">
        <f t="shared" si="29"/>
        <v>2.1000000000000001E-2</v>
      </c>
      <c r="H436" s="122">
        <f t="shared" si="29"/>
        <v>1678.3960000000002</v>
      </c>
      <c r="I436" s="112">
        <f t="shared" si="29"/>
        <v>42.863999999999997</v>
      </c>
      <c r="J436" s="112">
        <f t="shared" si="29"/>
        <v>156.351</v>
      </c>
      <c r="K436" s="112">
        <f t="shared" si="29"/>
        <v>351.35300000000001</v>
      </c>
      <c r="L436" s="112">
        <f t="shared" si="29"/>
        <v>311.43599999999998</v>
      </c>
      <c r="M436" s="112">
        <f t="shared" si="29"/>
        <v>177.70600000000002</v>
      </c>
      <c r="N436" s="112">
        <f t="shared" si="29"/>
        <v>7.5280000000000005</v>
      </c>
      <c r="O436" s="122">
        <f t="shared" si="29"/>
        <v>1047.229</v>
      </c>
      <c r="P436" s="112">
        <f t="shared" si="29"/>
        <v>101.854</v>
      </c>
      <c r="Q436" s="112">
        <f t="shared" si="29"/>
        <v>356.73400000000004</v>
      </c>
      <c r="R436" s="112">
        <f t="shared" si="29"/>
        <v>964.15599999999995</v>
      </c>
      <c r="S436" s="112">
        <f t="shared" si="29"/>
        <v>883.19</v>
      </c>
      <c r="T436" s="112">
        <f t="shared" si="29"/>
        <v>412.154</v>
      </c>
      <c r="U436" s="112">
        <f t="shared" si="29"/>
        <v>7.5489999999999995</v>
      </c>
      <c r="V436" s="112">
        <f t="shared" si="29"/>
        <v>2725.625</v>
      </c>
    </row>
    <row r="437" spans="1:22" x14ac:dyDescent="0.2">
      <c r="A437" s="47" t="s">
        <v>85</v>
      </c>
      <c r="B437" s="112">
        <v>20.113</v>
      </c>
      <c r="C437" s="112">
        <v>97.438000000000002</v>
      </c>
      <c r="D437" s="112">
        <v>225.65100000000001</v>
      </c>
      <c r="E437" s="112">
        <v>194.96100000000001</v>
      </c>
      <c r="F437" s="112">
        <v>86.494</v>
      </c>
      <c r="G437" s="112">
        <v>0</v>
      </c>
      <c r="H437" s="122">
        <f>SUM(B437:G437)</f>
        <v>624.65700000000004</v>
      </c>
      <c r="I437" s="112">
        <v>19.463999999999999</v>
      </c>
      <c r="J437" s="112">
        <v>66.903000000000006</v>
      </c>
      <c r="K437" s="112">
        <v>123.21299999999999</v>
      </c>
      <c r="L437" s="112">
        <v>106.048</v>
      </c>
      <c r="M437" s="112">
        <v>66.578000000000003</v>
      </c>
      <c r="N437" s="112">
        <v>2.4180000000000001</v>
      </c>
      <c r="O437" s="122">
        <f>SUM(I437:N437)</f>
        <v>384.62400000000002</v>
      </c>
      <c r="P437" s="112">
        <f t="shared" ref="P437:U439" si="30">B437+I437</f>
        <v>39.576999999999998</v>
      </c>
      <c r="Q437" s="112">
        <f t="shared" si="30"/>
        <v>164.34100000000001</v>
      </c>
      <c r="R437" s="112">
        <f t="shared" si="30"/>
        <v>348.86400000000003</v>
      </c>
      <c r="S437" s="112">
        <f t="shared" si="30"/>
        <v>301.00900000000001</v>
      </c>
      <c r="T437" s="112">
        <f t="shared" si="30"/>
        <v>153.072</v>
      </c>
      <c r="U437" s="112">
        <f t="shared" si="30"/>
        <v>2.4180000000000001</v>
      </c>
      <c r="V437" s="112">
        <f>SUM(P437:U437)</f>
        <v>1009.2810000000001</v>
      </c>
    </row>
    <row r="438" spans="1:22" x14ac:dyDescent="0.2">
      <c r="A438" s="47" t="s">
        <v>86</v>
      </c>
      <c r="B438" s="112">
        <v>16.248000000000001</v>
      </c>
      <c r="C438" s="112">
        <v>75.86</v>
      </c>
      <c r="D438" s="112">
        <v>208.99199999999999</v>
      </c>
      <c r="E438" s="112">
        <v>185.404</v>
      </c>
      <c r="F438" s="112">
        <v>78.152000000000001</v>
      </c>
      <c r="G438" s="112">
        <v>0</v>
      </c>
      <c r="H438" s="122">
        <f>SUM(B438:G438)</f>
        <v>564.65600000000006</v>
      </c>
      <c r="I438" s="112">
        <v>12.468999999999999</v>
      </c>
      <c r="J438" s="112">
        <v>49.158000000000001</v>
      </c>
      <c r="K438" s="112">
        <v>117.215</v>
      </c>
      <c r="L438" s="112">
        <v>107.821</v>
      </c>
      <c r="M438" s="112">
        <v>53.613</v>
      </c>
      <c r="N438" s="112">
        <v>2.222</v>
      </c>
      <c r="O438" s="122">
        <f>SUM(I438:N438)</f>
        <v>342.49799999999999</v>
      </c>
      <c r="P438" s="112">
        <f t="shared" si="30"/>
        <v>28.716999999999999</v>
      </c>
      <c r="Q438" s="112">
        <f t="shared" si="30"/>
        <v>125.018</v>
      </c>
      <c r="R438" s="112">
        <f t="shared" si="30"/>
        <v>326.20699999999999</v>
      </c>
      <c r="S438" s="112">
        <f t="shared" si="30"/>
        <v>293.22500000000002</v>
      </c>
      <c r="T438" s="112">
        <f t="shared" si="30"/>
        <v>131.76499999999999</v>
      </c>
      <c r="U438" s="112">
        <f t="shared" si="30"/>
        <v>2.222</v>
      </c>
      <c r="V438" s="112">
        <f>SUM(P438:U438)</f>
        <v>907.154</v>
      </c>
    </row>
    <row r="439" spans="1:22" x14ac:dyDescent="0.2">
      <c r="A439" s="47" t="s">
        <v>87</v>
      </c>
      <c r="B439" s="112">
        <v>14.741</v>
      </c>
      <c r="C439" s="112">
        <v>67.174000000000007</v>
      </c>
      <c r="D439" s="112">
        <v>179.28399999999999</v>
      </c>
      <c r="E439" s="112">
        <v>166.86099999999999</v>
      </c>
      <c r="F439" s="112">
        <v>68.924000000000007</v>
      </c>
      <c r="G439" s="112">
        <v>0</v>
      </c>
      <c r="H439" s="122">
        <f>SUM(B439:G439)</f>
        <v>496.98400000000004</v>
      </c>
      <c r="I439" s="112">
        <v>10.978999999999999</v>
      </c>
      <c r="J439" s="112">
        <v>39.212000000000003</v>
      </c>
      <c r="K439" s="112">
        <v>105.601</v>
      </c>
      <c r="L439" s="112">
        <v>90.852000000000004</v>
      </c>
      <c r="M439" s="112">
        <v>48.996000000000002</v>
      </c>
      <c r="N439" s="112">
        <v>2.073</v>
      </c>
      <c r="O439" s="122">
        <f>SUM(I439:N439)</f>
        <v>297.71299999999997</v>
      </c>
      <c r="P439" s="112">
        <f t="shared" si="30"/>
        <v>25.72</v>
      </c>
      <c r="Q439" s="112">
        <f t="shared" si="30"/>
        <v>106.38600000000001</v>
      </c>
      <c r="R439" s="112">
        <f t="shared" si="30"/>
        <v>284.88499999999999</v>
      </c>
      <c r="S439" s="112">
        <f t="shared" si="30"/>
        <v>257.71299999999997</v>
      </c>
      <c r="T439" s="112">
        <f t="shared" si="30"/>
        <v>117.92000000000002</v>
      </c>
      <c r="U439" s="112">
        <f t="shared" si="30"/>
        <v>2.073</v>
      </c>
      <c r="V439" s="112">
        <f>SUM(P439:U439)</f>
        <v>794.697</v>
      </c>
    </row>
    <row r="440" spans="1:22" x14ac:dyDescent="0.2">
      <c r="A440" s="47" t="s">
        <v>84</v>
      </c>
      <c r="B440" s="112">
        <f>SUM(B437:B439)</f>
        <v>51.102000000000004</v>
      </c>
      <c r="C440" s="112">
        <f t="shared" ref="C440:G440" si="31">SUM(C437:C439)</f>
        <v>240.47200000000001</v>
      </c>
      <c r="D440" s="112">
        <f t="shared" si="31"/>
        <v>613.92700000000002</v>
      </c>
      <c r="E440" s="112">
        <f t="shared" si="31"/>
        <v>547.226</v>
      </c>
      <c r="F440" s="112">
        <f t="shared" si="31"/>
        <v>233.57000000000002</v>
      </c>
      <c r="G440" s="112">
        <f t="shared" si="31"/>
        <v>0</v>
      </c>
      <c r="H440" s="122">
        <f>SUM(B440:G440)</f>
        <v>1686.2969999999998</v>
      </c>
      <c r="I440" s="112">
        <f>SUM(I437:I439)</f>
        <v>42.911999999999999</v>
      </c>
      <c r="J440" s="112">
        <f t="shared" ref="J440" si="32">SUM(J437:J439)</f>
        <v>155.27300000000002</v>
      </c>
      <c r="K440" s="112">
        <f t="shared" ref="K440" si="33">SUM(K437:K439)</f>
        <v>346.029</v>
      </c>
      <c r="L440" s="112">
        <f t="shared" ref="L440" si="34">SUM(L437:L439)</f>
        <v>304.721</v>
      </c>
      <c r="M440" s="112">
        <f t="shared" ref="M440:N440" si="35">SUM(M437:M439)</f>
        <v>169.18700000000001</v>
      </c>
      <c r="N440" s="112">
        <f t="shared" si="35"/>
        <v>6.713000000000001</v>
      </c>
      <c r="O440" s="122">
        <f>SUM(I440:N440)</f>
        <v>1024.835</v>
      </c>
      <c r="P440" s="112">
        <f>SUM(P437:P439)</f>
        <v>94.013999999999996</v>
      </c>
      <c r="Q440" s="112">
        <f t="shared" ref="Q440" si="36">SUM(Q437:Q439)</f>
        <v>395.74500000000006</v>
      </c>
      <c r="R440" s="112">
        <f t="shared" ref="R440" si="37">SUM(R437:R439)</f>
        <v>959.95600000000002</v>
      </c>
      <c r="S440" s="112">
        <f t="shared" ref="S440" si="38">SUM(S437:S439)</f>
        <v>851.947</v>
      </c>
      <c r="T440" s="112">
        <f t="shared" ref="T440:U440" si="39">SUM(T437:T439)</f>
        <v>402.75700000000001</v>
      </c>
      <c r="U440" s="112">
        <f t="shared" si="39"/>
        <v>6.713000000000001</v>
      </c>
      <c r="V440" s="112">
        <f>SUM(P440:U440)</f>
        <v>2711.1320000000005</v>
      </c>
    </row>
    <row r="441" spans="1:22" x14ac:dyDescent="0.2">
      <c r="A441" s="47"/>
      <c r="B441" s="112"/>
      <c r="C441" s="112"/>
      <c r="D441" s="112"/>
      <c r="E441" s="112"/>
      <c r="F441" s="112"/>
      <c r="G441" s="112"/>
      <c r="H441" s="122"/>
      <c r="I441" s="112"/>
      <c r="J441" s="112"/>
      <c r="K441" s="112"/>
      <c r="L441" s="112"/>
      <c r="M441" s="112"/>
      <c r="N441" s="112"/>
      <c r="O441" s="122"/>
      <c r="P441" s="112"/>
      <c r="Q441" s="112"/>
      <c r="R441" s="112"/>
      <c r="S441" s="112"/>
      <c r="T441" s="112"/>
      <c r="U441" s="112"/>
      <c r="V441" s="112"/>
    </row>
    <row r="442" spans="1:22" x14ac:dyDescent="0.2">
      <c r="A442" s="47">
        <v>2022</v>
      </c>
      <c r="B442" s="112"/>
      <c r="C442" s="112"/>
      <c r="D442" s="112"/>
      <c r="E442" s="112"/>
      <c r="F442" s="112"/>
      <c r="G442" s="112"/>
      <c r="H442" s="122"/>
      <c r="I442" s="112"/>
      <c r="J442" s="112"/>
      <c r="K442" s="112"/>
      <c r="L442" s="112"/>
      <c r="M442" s="112"/>
      <c r="N442" s="112"/>
      <c r="O442" s="122"/>
      <c r="P442" s="112"/>
      <c r="Q442" s="112"/>
      <c r="R442" s="112"/>
      <c r="S442" s="112"/>
      <c r="T442" s="112"/>
      <c r="U442" s="112"/>
      <c r="V442" s="112"/>
    </row>
    <row r="443" spans="1:22" x14ac:dyDescent="0.2">
      <c r="A443" s="47" t="s">
        <v>74</v>
      </c>
      <c r="B443" s="112">
        <v>15.531000000000001</v>
      </c>
      <c r="C443" s="112">
        <v>74.286000000000001</v>
      </c>
      <c r="D443" s="112">
        <v>202.702</v>
      </c>
      <c r="E443" s="112">
        <v>183.28700000000001</v>
      </c>
      <c r="F443" s="112">
        <v>80.186999999999998</v>
      </c>
      <c r="G443" s="112">
        <v>0</v>
      </c>
      <c r="H443" s="122">
        <f t="shared" ref="H443:H449" si="40">SUM(B443:G443)</f>
        <v>555.99300000000005</v>
      </c>
      <c r="I443" s="112">
        <v>11.093999999999999</v>
      </c>
      <c r="J443" s="112">
        <v>49.304000000000002</v>
      </c>
      <c r="K443" s="112">
        <v>106.614</v>
      </c>
      <c r="L443" s="112">
        <v>86.75</v>
      </c>
      <c r="M443" s="112">
        <v>56.015000000000001</v>
      </c>
      <c r="N443" s="112">
        <v>2.468</v>
      </c>
      <c r="O443" s="122">
        <f t="shared" ref="O443:O449" si="41">SUM(I443:N443)</f>
        <v>312.245</v>
      </c>
      <c r="P443" s="112">
        <f t="shared" ref="P443:P444" si="42">B443+I443</f>
        <v>26.625</v>
      </c>
      <c r="Q443" s="112">
        <f t="shared" ref="Q443:Q444" si="43">C443+J443</f>
        <v>123.59</v>
      </c>
      <c r="R443" s="112">
        <f t="shared" ref="R443:R444" si="44">D443+K443</f>
        <v>309.31600000000003</v>
      </c>
      <c r="S443" s="112">
        <f t="shared" ref="S443:S444" si="45">E443+L443</f>
        <v>270.03700000000003</v>
      </c>
      <c r="T443" s="112">
        <f t="shared" ref="T443:T444" si="46">F443+M443</f>
        <v>136.202</v>
      </c>
      <c r="U443" s="112">
        <f t="shared" ref="U443:U444" si="47">G443+N443</f>
        <v>2.468</v>
      </c>
      <c r="V443" s="112">
        <f t="shared" ref="V443:V448" si="48">SUM(P443:U443)</f>
        <v>868.23800000000006</v>
      </c>
    </row>
    <row r="444" spans="1:22" x14ac:dyDescent="0.2">
      <c r="A444" s="47" t="s">
        <v>75</v>
      </c>
      <c r="B444" s="112">
        <v>13.856999999999999</v>
      </c>
      <c r="C444" s="112">
        <v>70.748000000000005</v>
      </c>
      <c r="D444" s="112">
        <v>194.42099999999999</v>
      </c>
      <c r="E444" s="112">
        <v>177.24600000000001</v>
      </c>
      <c r="F444" s="112">
        <v>70.322999999999993</v>
      </c>
      <c r="G444" s="112">
        <v>5.1999999999999998E-2</v>
      </c>
      <c r="H444" s="122">
        <f t="shared" si="40"/>
        <v>526.64700000000005</v>
      </c>
      <c r="I444" s="112">
        <v>12.099</v>
      </c>
      <c r="J444" s="112">
        <v>46.042999999999999</v>
      </c>
      <c r="K444" s="112">
        <v>102.001</v>
      </c>
      <c r="L444" s="112">
        <v>88.004999999999995</v>
      </c>
      <c r="M444" s="112">
        <v>46.569000000000003</v>
      </c>
      <c r="N444" s="112">
        <v>2.2519999999999998</v>
      </c>
      <c r="O444" s="122">
        <f t="shared" si="41"/>
        <v>296.96899999999999</v>
      </c>
      <c r="P444" s="112">
        <f t="shared" si="42"/>
        <v>25.956</v>
      </c>
      <c r="Q444" s="112">
        <f t="shared" si="43"/>
        <v>116.791</v>
      </c>
      <c r="R444" s="112">
        <f t="shared" si="44"/>
        <v>296.42200000000003</v>
      </c>
      <c r="S444" s="112">
        <f t="shared" si="45"/>
        <v>265.25099999999998</v>
      </c>
      <c r="T444" s="112">
        <f t="shared" si="46"/>
        <v>116.892</v>
      </c>
      <c r="U444" s="112">
        <f t="shared" si="47"/>
        <v>2.3039999999999998</v>
      </c>
      <c r="V444" s="112">
        <f t="shared" si="48"/>
        <v>823.61599999999987</v>
      </c>
    </row>
    <row r="445" spans="1:22" x14ac:dyDescent="0.2">
      <c r="A445" s="47" t="s">
        <v>76</v>
      </c>
      <c r="B445" s="112">
        <v>14.835000000000001</v>
      </c>
      <c r="C445" s="112">
        <v>79.268000000000001</v>
      </c>
      <c r="D445" s="112">
        <v>229.851</v>
      </c>
      <c r="E445" s="112">
        <v>213.72800000000001</v>
      </c>
      <c r="F445" s="112">
        <v>82.894000000000005</v>
      </c>
      <c r="G445" s="112">
        <v>0</v>
      </c>
      <c r="H445" s="122">
        <f t="shared" si="40"/>
        <v>620.57600000000002</v>
      </c>
      <c r="I445" s="112">
        <v>12.385999999999999</v>
      </c>
      <c r="J445" s="112">
        <v>52.533000000000001</v>
      </c>
      <c r="K445" s="112">
        <v>132.23599999999999</v>
      </c>
      <c r="L445" s="112">
        <v>113.997</v>
      </c>
      <c r="M445" s="112">
        <v>56.773000000000003</v>
      </c>
      <c r="N445" s="112">
        <v>2.8860000000000001</v>
      </c>
      <c r="O445" s="122">
        <f t="shared" si="41"/>
        <v>370.81100000000004</v>
      </c>
      <c r="P445" s="112">
        <f t="shared" ref="P445" si="49">B445+I445</f>
        <v>27.221</v>
      </c>
      <c r="Q445" s="112">
        <f t="shared" ref="Q445" si="50">C445+J445</f>
        <v>131.80099999999999</v>
      </c>
      <c r="R445" s="112">
        <f t="shared" ref="R445" si="51">D445+K445</f>
        <v>362.08699999999999</v>
      </c>
      <c r="S445" s="112">
        <f t="shared" ref="S445" si="52">E445+L445</f>
        <v>327.72500000000002</v>
      </c>
      <c r="T445" s="112">
        <f t="shared" ref="T445" si="53">F445+M445</f>
        <v>139.667</v>
      </c>
      <c r="U445" s="112">
        <f t="shared" ref="U445" si="54">G445+N445</f>
        <v>2.8860000000000001</v>
      </c>
      <c r="V445" s="112">
        <f t="shared" si="48"/>
        <v>991.38699999999994</v>
      </c>
    </row>
    <row r="446" spans="1:22" x14ac:dyDescent="0.2">
      <c r="A446" s="47" t="s">
        <v>77</v>
      </c>
      <c r="B446" s="112">
        <f>SUM(B443:B445)</f>
        <v>44.222999999999999</v>
      </c>
      <c r="C446" s="112">
        <f t="shared" ref="C446:G446" si="55">SUM(C443:C445)</f>
        <v>224.30199999999999</v>
      </c>
      <c r="D446" s="112">
        <f t="shared" si="55"/>
        <v>626.97399999999993</v>
      </c>
      <c r="E446" s="112">
        <f t="shared" si="55"/>
        <v>574.26099999999997</v>
      </c>
      <c r="F446" s="112">
        <f t="shared" si="55"/>
        <v>233.404</v>
      </c>
      <c r="G446" s="112">
        <f t="shared" si="55"/>
        <v>5.1999999999999998E-2</v>
      </c>
      <c r="H446" s="122">
        <f t="shared" si="40"/>
        <v>1703.2159999999997</v>
      </c>
      <c r="I446" s="112">
        <f>SUM(I443:I445)</f>
        <v>35.578999999999994</v>
      </c>
      <c r="J446" s="112">
        <f t="shared" ref="J446" si="56">SUM(J443:J445)</f>
        <v>147.88</v>
      </c>
      <c r="K446" s="112">
        <f t="shared" ref="K446" si="57">SUM(K443:K445)</f>
        <v>340.851</v>
      </c>
      <c r="L446" s="112">
        <f t="shared" ref="L446" si="58">SUM(L443:L445)</f>
        <v>288.75200000000001</v>
      </c>
      <c r="M446" s="112">
        <f t="shared" ref="M446" si="59">SUM(M443:M445)</f>
        <v>159.357</v>
      </c>
      <c r="N446" s="112">
        <f t="shared" ref="N446" si="60">SUM(N443:N445)</f>
        <v>7.6059999999999999</v>
      </c>
      <c r="O446" s="122">
        <f t="shared" si="41"/>
        <v>980.02499999999986</v>
      </c>
      <c r="P446" s="112">
        <f t="shared" ref="P446" si="61">B446+I446</f>
        <v>79.801999999999992</v>
      </c>
      <c r="Q446" s="112">
        <f t="shared" ref="Q446" si="62">C446+J446</f>
        <v>372.18200000000002</v>
      </c>
      <c r="R446" s="112">
        <f t="shared" ref="R446" si="63">D446+K446</f>
        <v>967.82499999999993</v>
      </c>
      <c r="S446" s="112">
        <f t="shared" ref="S446" si="64">E446+L446</f>
        <v>863.01299999999992</v>
      </c>
      <c r="T446" s="112">
        <f t="shared" ref="T446" si="65">F446+M446</f>
        <v>392.76099999999997</v>
      </c>
      <c r="U446" s="112">
        <f t="shared" ref="U446" si="66">G446+N446</f>
        <v>7.6579999999999995</v>
      </c>
      <c r="V446" s="112">
        <f t="shared" si="48"/>
        <v>2683.241</v>
      </c>
    </row>
    <row r="447" spans="1:22" x14ac:dyDescent="0.2">
      <c r="A447" s="47" t="s">
        <v>78</v>
      </c>
      <c r="B447" s="112">
        <v>14.83</v>
      </c>
      <c r="C447" s="112">
        <v>75.302999999999997</v>
      </c>
      <c r="D447" s="112">
        <v>200.51400000000001</v>
      </c>
      <c r="E447" s="112">
        <v>192.678</v>
      </c>
      <c r="F447" s="112">
        <v>86.665000000000006</v>
      </c>
      <c r="G447" s="112">
        <v>0</v>
      </c>
      <c r="H447" s="122">
        <f t="shared" si="40"/>
        <v>569.99</v>
      </c>
      <c r="I447" s="112">
        <v>11.558</v>
      </c>
      <c r="J447" s="112">
        <v>44.328000000000003</v>
      </c>
      <c r="K447" s="112">
        <v>112.961</v>
      </c>
      <c r="L447" s="112">
        <v>104.934</v>
      </c>
      <c r="M447" s="112">
        <v>55.302</v>
      </c>
      <c r="N447" s="112">
        <v>2.1949999999999998</v>
      </c>
      <c r="O447" s="122">
        <f t="shared" si="41"/>
        <v>331.27800000000002</v>
      </c>
      <c r="P447" s="112">
        <f t="shared" ref="P447" si="67">B447+I447</f>
        <v>26.387999999999998</v>
      </c>
      <c r="Q447" s="112">
        <f t="shared" ref="Q447" si="68">C447+J447</f>
        <v>119.631</v>
      </c>
      <c r="R447" s="112">
        <f t="shared" ref="R447" si="69">D447+K447</f>
        <v>313.47500000000002</v>
      </c>
      <c r="S447" s="112">
        <f t="shared" ref="S447" si="70">E447+L447</f>
        <v>297.61199999999997</v>
      </c>
      <c r="T447" s="112">
        <f t="shared" ref="T447" si="71">F447+M447</f>
        <v>141.96700000000001</v>
      </c>
      <c r="U447" s="112">
        <f t="shared" ref="U447" si="72">G447+N447</f>
        <v>2.1949999999999998</v>
      </c>
      <c r="V447" s="112">
        <f t="shared" si="48"/>
        <v>901.26800000000003</v>
      </c>
    </row>
    <row r="448" spans="1:22" x14ac:dyDescent="0.2">
      <c r="A448" s="47" t="s">
        <v>79</v>
      </c>
      <c r="B448" s="112">
        <v>21.306999999999999</v>
      </c>
      <c r="C448" s="112">
        <v>87.117999999999995</v>
      </c>
      <c r="D448" s="112">
        <v>202.41800000000001</v>
      </c>
      <c r="E448" s="112">
        <v>208.06100000000001</v>
      </c>
      <c r="F448" s="112">
        <v>89.634</v>
      </c>
      <c r="G448" s="112">
        <v>0</v>
      </c>
      <c r="H448" s="122">
        <f t="shared" si="40"/>
        <v>608.53800000000001</v>
      </c>
      <c r="I448" s="112">
        <v>14.602</v>
      </c>
      <c r="J448" s="112">
        <v>55.383000000000003</v>
      </c>
      <c r="K448" s="112">
        <v>121.624</v>
      </c>
      <c r="L448" s="112">
        <v>96.605999999999995</v>
      </c>
      <c r="M448" s="112">
        <v>63.469000000000001</v>
      </c>
      <c r="N448" s="112">
        <v>2.7589999999999999</v>
      </c>
      <c r="O448" s="122">
        <f t="shared" si="41"/>
        <v>354.44299999999998</v>
      </c>
      <c r="P448" s="112">
        <f t="shared" ref="P448" si="73">B448+I448</f>
        <v>35.908999999999999</v>
      </c>
      <c r="Q448" s="112">
        <f t="shared" ref="Q448" si="74">C448+J448</f>
        <v>142.501</v>
      </c>
      <c r="R448" s="112">
        <f t="shared" ref="R448" si="75">D448+K448</f>
        <v>324.04200000000003</v>
      </c>
      <c r="S448" s="112">
        <f t="shared" ref="S448" si="76">E448+L448</f>
        <v>304.66700000000003</v>
      </c>
      <c r="T448" s="112">
        <f t="shared" ref="T448" si="77">F448+M448</f>
        <v>153.10300000000001</v>
      </c>
      <c r="U448" s="112">
        <f t="shared" ref="U448" si="78">G448+N448</f>
        <v>2.7589999999999999</v>
      </c>
      <c r="V448" s="112">
        <f t="shared" si="48"/>
        <v>962.98099999999999</v>
      </c>
    </row>
    <row r="449" spans="1:22" x14ac:dyDescent="0.2">
      <c r="A449" s="47" t="s">
        <v>89</v>
      </c>
      <c r="B449" s="112">
        <v>14.83</v>
      </c>
      <c r="C449" s="112">
        <v>75.302999999999997</v>
      </c>
      <c r="D449" s="112">
        <v>200.51400000000001</v>
      </c>
      <c r="E449" s="112">
        <v>192.678</v>
      </c>
      <c r="F449" s="112">
        <v>86.665000000000006</v>
      </c>
      <c r="G449" s="112">
        <v>0</v>
      </c>
      <c r="H449" s="122">
        <f t="shared" si="40"/>
        <v>569.99</v>
      </c>
      <c r="I449" s="112">
        <v>11.558</v>
      </c>
      <c r="J449" s="112">
        <v>44.328000000000003</v>
      </c>
      <c r="K449" s="112">
        <v>112.961</v>
      </c>
      <c r="L449" s="112">
        <v>104.934</v>
      </c>
      <c r="M449" s="112">
        <v>55.302</v>
      </c>
      <c r="N449" s="112">
        <v>2.1949999999999998</v>
      </c>
      <c r="O449" s="122">
        <f t="shared" si="41"/>
        <v>331.27800000000002</v>
      </c>
      <c r="P449" s="112">
        <f t="shared" ref="P449" si="79">B449+I449</f>
        <v>26.387999999999998</v>
      </c>
      <c r="Q449" s="112">
        <f t="shared" ref="Q449" si="80">C449+J449</f>
        <v>119.631</v>
      </c>
      <c r="R449" s="112">
        <f t="shared" ref="R449" si="81">D449+K449</f>
        <v>313.47500000000002</v>
      </c>
      <c r="S449" s="112">
        <f t="shared" ref="S449" si="82">E449+L449</f>
        <v>297.61199999999997</v>
      </c>
      <c r="T449" s="112">
        <f t="shared" ref="T449" si="83">F449+M449</f>
        <v>141.96700000000001</v>
      </c>
      <c r="U449" s="112">
        <f t="shared" ref="U449" si="84">G449+N449</f>
        <v>2.1949999999999998</v>
      </c>
      <c r="V449" s="112">
        <f t="shared" ref="V449" si="85">SUM(P449:U449)</f>
        <v>901.26800000000003</v>
      </c>
    </row>
    <row r="450" spans="1:22" x14ac:dyDescent="0.2">
      <c r="A450" s="47" t="s">
        <v>80</v>
      </c>
      <c r="B450" s="112">
        <f>SUM(B447:B449)</f>
        <v>50.966999999999999</v>
      </c>
      <c r="C450" s="112">
        <f t="shared" ref="C450:G450" si="86">SUM(C447:C449)</f>
        <v>237.72399999999999</v>
      </c>
      <c r="D450" s="112">
        <f t="shared" si="86"/>
        <v>603.44600000000003</v>
      </c>
      <c r="E450" s="112">
        <f t="shared" si="86"/>
        <v>593.41700000000003</v>
      </c>
      <c r="F450" s="112">
        <f t="shared" si="86"/>
        <v>262.964</v>
      </c>
      <c r="G450" s="112">
        <f t="shared" si="86"/>
        <v>0</v>
      </c>
      <c r="H450" s="122">
        <f t="shared" ref="H450:H451" si="87">SUM(B450:G450)</f>
        <v>1748.518</v>
      </c>
      <c r="I450" s="112">
        <f>SUM(I447:I449)</f>
        <v>37.718000000000004</v>
      </c>
      <c r="J450" s="112">
        <f t="shared" ref="J450:N450" si="88">SUM(J447:J449)</f>
        <v>144.03900000000002</v>
      </c>
      <c r="K450" s="112">
        <f t="shared" si="88"/>
        <v>347.54599999999999</v>
      </c>
      <c r="L450" s="112">
        <f t="shared" si="88"/>
        <v>306.47399999999999</v>
      </c>
      <c r="M450" s="112">
        <f t="shared" si="88"/>
        <v>174.07300000000001</v>
      </c>
      <c r="N450" s="112">
        <f t="shared" si="88"/>
        <v>7.1489999999999991</v>
      </c>
      <c r="O450" s="122">
        <f t="shared" ref="O450:O451" si="89">SUM(I450:N450)</f>
        <v>1016.999</v>
      </c>
      <c r="P450" s="112">
        <f t="shared" ref="P450" si="90">B450+I450</f>
        <v>88.685000000000002</v>
      </c>
      <c r="Q450" s="112">
        <f t="shared" ref="Q450" si="91">C450+J450</f>
        <v>381.76300000000003</v>
      </c>
      <c r="R450" s="112">
        <f t="shared" ref="R450" si="92">D450+K450</f>
        <v>950.99199999999996</v>
      </c>
      <c r="S450" s="112">
        <f t="shared" ref="S450" si="93">E450+L450</f>
        <v>899.89100000000008</v>
      </c>
      <c r="T450" s="112">
        <f t="shared" ref="T450" si="94">F450+M450</f>
        <v>437.03700000000003</v>
      </c>
      <c r="U450" s="112">
        <f t="shared" ref="U450" si="95">G450+N450</f>
        <v>7.1489999999999991</v>
      </c>
      <c r="V450" s="112">
        <f t="shared" ref="V450" si="96">SUM(P450:U450)</f>
        <v>2765.5170000000003</v>
      </c>
    </row>
    <row r="451" spans="1:22" x14ac:dyDescent="0.2">
      <c r="A451" s="47" t="s">
        <v>90</v>
      </c>
      <c r="B451" s="112">
        <v>20.161000000000001</v>
      </c>
      <c r="C451" s="112">
        <v>81.385999999999996</v>
      </c>
      <c r="D451" s="112">
        <v>203.47</v>
      </c>
      <c r="E451" s="112">
        <v>197.39599999999999</v>
      </c>
      <c r="F451" s="112">
        <v>89.671999999999997</v>
      </c>
      <c r="G451" s="112">
        <v>0.17</v>
      </c>
      <c r="H451" s="122">
        <f t="shared" si="87"/>
        <v>592.255</v>
      </c>
      <c r="I451" s="112">
        <v>13.509</v>
      </c>
      <c r="J451" s="112">
        <v>55.423000000000002</v>
      </c>
      <c r="K451" s="112">
        <v>124.559</v>
      </c>
      <c r="L451" s="112">
        <v>100.962</v>
      </c>
      <c r="M451" s="112">
        <v>64.055000000000007</v>
      </c>
      <c r="N451" s="112">
        <v>2.6539999999999999</v>
      </c>
      <c r="O451" s="122">
        <f t="shared" si="89"/>
        <v>361.16199999999998</v>
      </c>
      <c r="P451" s="112">
        <f t="shared" ref="P451" si="97">B451+I451</f>
        <v>33.67</v>
      </c>
      <c r="Q451" s="112">
        <f t="shared" ref="Q451" si="98">C451+J451</f>
        <v>136.809</v>
      </c>
      <c r="R451" s="112">
        <f t="shared" ref="R451" si="99">D451+K451</f>
        <v>328.029</v>
      </c>
      <c r="S451" s="112">
        <f t="shared" ref="S451" si="100">E451+L451</f>
        <v>298.358</v>
      </c>
      <c r="T451" s="112">
        <f t="shared" ref="T451" si="101">F451+M451</f>
        <v>153.727</v>
      </c>
      <c r="U451" s="112">
        <f t="shared" ref="U451" si="102">G451+N451</f>
        <v>2.8239999999999998</v>
      </c>
      <c r="V451" s="112">
        <f t="shared" ref="V451" si="103">SUM(P451:U451)</f>
        <v>953.41699999999992</v>
      </c>
    </row>
    <row r="452" spans="1:22" x14ac:dyDescent="0.2">
      <c r="A452" s="47" t="s">
        <v>81</v>
      </c>
      <c r="B452" s="112">
        <v>15.837999999999999</v>
      </c>
      <c r="C452" s="112">
        <v>79.908000000000001</v>
      </c>
      <c r="D452" s="112">
        <v>219.732</v>
      </c>
      <c r="E452" s="112">
        <v>202.35300000000001</v>
      </c>
      <c r="F452" s="112">
        <v>87.617000000000004</v>
      </c>
      <c r="G452" s="112">
        <v>0</v>
      </c>
      <c r="H452" s="122">
        <f>SUM(B452:G452)</f>
        <v>605.44799999999998</v>
      </c>
      <c r="I452" s="112">
        <v>14.185</v>
      </c>
      <c r="J452" s="112">
        <v>51.323999999999998</v>
      </c>
      <c r="K452" s="112">
        <v>120.705</v>
      </c>
      <c r="L452" s="112">
        <v>102.508</v>
      </c>
      <c r="M452" s="112">
        <v>62.156999999999996</v>
      </c>
      <c r="N452" s="112">
        <v>2.238</v>
      </c>
      <c r="O452" s="122">
        <f t="shared" ref="O452:O458" si="104">SUM(I452:N452)</f>
        <v>353.11699999999996</v>
      </c>
      <c r="P452" s="112">
        <f t="shared" ref="P452" si="105">B452+I452</f>
        <v>30.023</v>
      </c>
      <c r="Q452" s="112">
        <f t="shared" ref="Q452" si="106">C452+J452</f>
        <v>131.232</v>
      </c>
      <c r="R452" s="112">
        <f t="shared" ref="R452" si="107">D452+K452</f>
        <v>340.43700000000001</v>
      </c>
      <c r="S452" s="112">
        <f t="shared" ref="S452" si="108">E452+L452</f>
        <v>304.86099999999999</v>
      </c>
      <c r="T452" s="112">
        <f t="shared" ref="T452" si="109">F452+M452</f>
        <v>149.774</v>
      </c>
      <c r="U452" s="112">
        <f t="shared" ref="U452" si="110">G452+N452</f>
        <v>2.238</v>
      </c>
      <c r="V452" s="112">
        <f t="shared" ref="V452" si="111">SUM(P452:U452)</f>
        <v>958.56500000000005</v>
      </c>
    </row>
    <row r="453" spans="1:22" x14ac:dyDescent="0.2">
      <c r="A453" s="47" t="s">
        <v>82</v>
      </c>
      <c r="B453" s="112">
        <v>15.173</v>
      </c>
      <c r="C453" s="112">
        <v>75.676000000000002</v>
      </c>
      <c r="D453" s="112">
        <v>209.33500000000001</v>
      </c>
      <c r="E453" s="112">
        <v>186.23099999999999</v>
      </c>
      <c r="F453" s="112">
        <v>81.893000000000001</v>
      </c>
      <c r="G453" s="112">
        <v>0.83799999999999997</v>
      </c>
      <c r="H453" s="122">
        <f t="shared" ref="H453:H458" si="112">SUM(B453:G453)</f>
        <v>569.14599999999996</v>
      </c>
      <c r="I453" s="112">
        <v>13.592000000000001</v>
      </c>
      <c r="J453" s="112">
        <v>49.307000000000002</v>
      </c>
      <c r="K453" s="112">
        <v>116.395</v>
      </c>
      <c r="L453" s="112">
        <v>101.071</v>
      </c>
      <c r="M453" s="112">
        <v>62.07</v>
      </c>
      <c r="N453" s="112">
        <v>2.1930000000000001</v>
      </c>
      <c r="O453" s="122">
        <f t="shared" si="104"/>
        <v>344.62799999999999</v>
      </c>
      <c r="P453" s="112">
        <f t="shared" ref="P453:P454" si="113">B453+I453</f>
        <v>28.765000000000001</v>
      </c>
      <c r="Q453" s="112">
        <f t="shared" ref="Q453:Q454" si="114">C453+J453</f>
        <v>124.983</v>
      </c>
      <c r="R453" s="112">
        <f t="shared" ref="R453:R454" si="115">D453+K453</f>
        <v>325.73</v>
      </c>
      <c r="S453" s="112">
        <f t="shared" ref="S453:S454" si="116">E453+L453</f>
        <v>287.30200000000002</v>
      </c>
      <c r="T453" s="112">
        <f t="shared" ref="T453:T454" si="117">F453+M453</f>
        <v>143.96299999999999</v>
      </c>
      <c r="U453" s="112">
        <f t="shared" ref="U453:U454" si="118">G453+N453</f>
        <v>3.0310000000000001</v>
      </c>
      <c r="V453" s="112">
        <f t="shared" ref="V453:V454" si="119">SUM(P453:U453)</f>
        <v>913.77399999999989</v>
      </c>
    </row>
    <row r="454" spans="1:22" x14ac:dyDescent="0.2">
      <c r="A454" s="47" t="s">
        <v>83</v>
      </c>
      <c r="B454" s="112">
        <f>SUM(B451:B453)</f>
        <v>51.172000000000004</v>
      </c>
      <c r="C454" s="112">
        <f t="shared" ref="C454:G454" si="120">SUM(C451:C453)</f>
        <v>236.96999999999997</v>
      </c>
      <c r="D454" s="112">
        <f t="shared" si="120"/>
        <v>632.53700000000003</v>
      </c>
      <c r="E454" s="112">
        <f t="shared" si="120"/>
        <v>585.98</v>
      </c>
      <c r="F454" s="112">
        <f t="shared" si="120"/>
        <v>259.18200000000002</v>
      </c>
      <c r="G454" s="112">
        <f t="shared" si="120"/>
        <v>1.008</v>
      </c>
      <c r="H454" s="122">
        <f t="shared" si="112"/>
        <v>1766.8490000000002</v>
      </c>
      <c r="I454" s="112">
        <f>SUM(I451:I453)</f>
        <v>41.286000000000001</v>
      </c>
      <c r="J454" s="112">
        <f t="shared" ref="J454:N454" si="121">SUM(J451:J453)</f>
        <v>156.054</v>
      </c>
      <c r="K454" s="112">
        <f t="shared" si="121"/>
        <v>361.65899999999999</v>
      </c>
      <c r="L454" s="112">
        <f t="shared" si="121"/>
        <v>304.541</v>
      </c>
      <c r="M454" s="112">
        <f t="shared" si="121"/>
        <v>188.28200000000001</v>
      </c>
      <c r="N454" s="112">
        <f t="shared" si="121"/>
        <v>7.0849999999999991</v>
      </c>
      <c r="O454" s="122">
        <f t="shared" si="104"/>
        <v>1058.9069999999999</v>
      </c>
      <c r="P454" s="112">
        <f t="shared" si="113"/>
        <v>92.457999999999998</v>
      </c>
      <c r="Q454" s="112">
        <f t="shared" si="114"/>
        <v>393.024</v>
      </c>
      <c r="R454" s="112">
        <f t="shared" si="115"/>
        <v>994.19600000000003</v>
      </c>
      <c r="S454" s="112">
        <f t="shared" si="116"/>
        <v>890.52099999999996</v>
      </c>
      <c r="T454" s="112">
        <f t="shared" si="117"/>
        <v>447.46400000000006</v>
      </c>
      <c r="U454" s="112">
        <f t="shared" si="118"/>
        <v>8.093</v>
      </c>
      <c r="V454" s="112">
        <f t="shared" si="119"/>
        <v>2825.7559999999994</v>
      </c>
    </row>
    <row r="455" spans="1:22" x14ac:dyDescent="0.2">
      <c r="A455" s="47" t="s">
        <v>85</v>
      </c>
      <c r="B455" s="112">
        <v>19.616</v>
      </c>
      <c r="C455" s="112">
        <v>91.346000000000004</v>
      </c>
      <c r="D455" s="112">
        <v>218.33099999999999</v>
      </c>
      <c r="E455" s="112">
        <v>218.43</v>
      </c>
      <c r="F455" s="112">
        <v>85.129000000000005</v>
      </c>
      <c r="G455" s="112">
        <v>0</v>
      </c>
      <c r="H455" s="122">
        <f t="shared" si="112"/>
        <v>632.85199999999998</v>
      </c>
      <c r="I455" s="112">
        <v>14.672000000000001</v>
      </c>
      <c r="J455" s="112">
        <v>59.643999999999998</v>
      </c>
      <c r="K455" s="112">
        <v>140.87200000000001</v>
      </c>
      <c r="L455" s="112">
        <v>112.545</v>
      </c>
      <c r="M455" s="112">
        <v>69.837999999999994</v>
      </c>
      <c r="N455" s="112">
        <v>2.6539999999999999</v>
      </c>
      <c r="O455" s="122">
        <f t="shared" si="104"/>
        <v>400.22500000000002</v>
      </c>
      <c r="P455" s="112">
        <f t="shared" ref="P455" si="122">B455+I455</f>
        <v>34.287999999999997</v>
      </c>
      <c r="Q455" s="112">
        <f t="shared" ref="Q455" si="123">C455+J455</f>
        <v>150.99</v>
      </c>
      <c r="R455" s="112">
        <f t="shared" ref="R455" si="124">D455+K455</f>
        <v>359.20299999999997</v>
      </c>
      <c r="S455" s="112">
        <f t="shared" ref="S455" si="125">E455+L455</f>
        <v>330.97500000000002</v>
      </c>
      <c r="T455" s="112">
        <f t="shared" ref="T455" si="126">F455+M455</f>
        <v>154.96699999999998</v>
      </c>
      <c r="U455" s="112">
        <f t="shared" ref="U455" si="127">G455+N455</f>
        <v>2.6539999999999999</v>
      </c>
      <c r="V455" s="112">
        <f t="shared" ref="V455" si="128">SUM(P455:U455)</f>
        <v>1033.077</v>
      </c>
    </row>
    <row r="456" spans="1:22" x14ac:dyDescent="0.2">
      <c r="A456" s="47" t="s">
        <v>86</v>
      </c>
      <c r="B456" s="112">
        <v>16.218</v>
      </c>
      <c r="C456" s="112">
        <v>74.915999999999997</v>
      </c>
      <c r="D456" s="112">
        <v>196.41900000000001</v>
      </c>
      <c r="E456" s="112">
        <v>190.14099999999999</v>
      </c>
      <c r="F456" s="112">
        <v>76.507000000000005</v>
      </c>
      <c r="G456" s="112">
        <v>0</v>
      </c>
      <c r="H456" s="122">
        <f t="shared" si="112"/>
        <v>554.20100000000002</v>
      </c>
      <c r="I456" s="112">
        <v>15.154999999999999</v>
      </c>
      <c r="J456" s="112">
        <v>53.222999999999999</v>
      </c>
      <c r="K456" s="112">
        <v>121.38800000000001</v>
      </c>
      <c r="L456" s="112">
        <v>101.97</v>
      </c>
      <c r="M456" s="112">
        <v>56.289000000000001</v>
      </c>
      <c r="N456" s="112">
        <v>2.2280000000000002</v>
      </c>
      <c r="O456" s="122">
        <f t="shared" si="104"/>
        <v>350.25299999999999</v>
      </c>
      <c r="P456" s="112">
        <f t="shared" ref="P456" si="129">B456+I456</f>
        <v>31.372999999999998</v>
      </c>
      <c r="Q456" s="112">
        <f t="shared" ref="Q456" si="130">C456+J456</f>
        <v>128.13900000000001</v>
      </c>
      <c r="R456" s="112">
        <f t="shared" ref="R456" si="131">D456+K456</f>
        <v>317.80700000000002</v>
      </c>
      <c r="S456" s="112">
        <f t="shared" ref="S456" si="132">E456+L456</f>
        <v>292.11099999999999</v>
      </c>
      <c r="T456" s="112">
        <f t="shared" ref="T456" si="133">F456+M456</f>
        <v>132.79599999999999</v>
      </c>
      <c r="U456" s="112">
        <f t="shared" ref="U456" si="134">G456+N456</f>
        <v>2.2280000000000002</v>
      </c>
      <c r="V456" s="112">
        <f t="shared" ref="V456" si="135">SUM(P456:U456)</f>
        <v>904.45400000000006</v>
      </c>
    </row>
    <row r="457" spans="1:22" x14ac:dyDescent="0.2">
      <c r="A457" s="47" t="s">
        <v>87</v>
      </c>
      <c r="B457" s="112">
        <v>14.79</v>
      </c>
      <c r="C457" s="112">
        <v>68.081999999999994</v>
      </c>
      <c r="D457" s="112">
        <v>176.84800000000001</v>
      </c>
      <c r="E457" s="112">
        <v>179.767</v>
      </c>
      <c r="F457" s="112">
        <v>71.677999999999997</v>
      </c>
      <c r="G457" s="112">
        <v>0</v>
      </c>
      <c r="H457" s="122">
        <f t="shared" si="112"/>
        <v>511.16500000000002</v>
      </c>
      <c r="I457" s="112">
        <v>13.502000000000001</v>
      </c>
      <c r="J457" s="112">
        <v>50.951999999999998</v>
      </c>
      <c r="K457" s="112">
        <v>109.593</v>
      </c>
      <c r="L457" s="112">
        <v>97.100999999999999</v>
      </c>
      <c r="M457" s="112">
        <v>50.904000000000003</v>
      </c>
      <c r="N457" s="112">
        <v>2.1549999999999998</v>
      </c>
      <c r="O457" s="122">
        <f t="shared" si="104"/>
        <v>324.20699999999999</v>
      </c>
      <c r="P457" s="112">
        <f t="shared" ref="P457" si="136">B457+I457</f>
        <v>28.292000000000002</v>
      </c>
      <c r="Q457" s="112">
        <f t="shared" ref="Q457" si="137">C457+J457</f>
        <v>119.03399999999999</v>
      </c>
      <c r="R457" s="112">
        <f t="shared" ref="R457" si="138">D457+K457</f>
        <v>286.44100000000003</v>
      </c>
      <c r="S457" s="112">
        <f t="shared" ref="S457" si="139">E457+L457</f>
        <v>276.86799999999999</v>
      </c>
      <c r="T457" s="112">
        <f t="shared" ref="T457" si="140">F457+M457</f>
        <v>122.58199999999999</v>
      </c>
      <c r="U457" s="112">
        <f t="shared" ref="U457" si="141">G457+N457</f>
        <v>2.1549999999999998</v>
      </c>
      <c r="V457" s="112">
        <f t="shared" ref="V457:V458" si="142">SUM(P457:U457)</f>
        <v>835.37199999999996</v>
      </c>
    </row>
    <row r="458" spans="1:22" x14ac:dyDescent="0.2">
      <c r="A458" s="47" t="s">
        <v>84</v>
      </c>
      <c r="B458" s="112">
        <f>SUM(B455:B457)</f>
        <v>50.624000000000002</v>
      </c>
      <c r="C458" s="112">
        <f t="shared" ref="C458:G458" si="143">SUM(C455:C457)</f>
        <v>234.34399999999999</v>
      </c>
      <c r="D458" s="112">
        <f t="shared" si="143"/>
        <v>591.59799999999996</v>
      </c>
      <c r="E458" s="112">
        <f t="shared" si="143"/>
        <v>588.33799999999997</v>
      </c>
      <c r="F458" s="112">
        <f t="shared" si="143"/>
        <v>233.31400000000002</v>
      </c>
      <c r="G458" s="112">
        <f t="shared" si="143"/>
        <v>0</v>
      </c>
      <c r="H458" s="122">
        <f t="shared" si="112"/>
        <v>1698.2180000000001</v>
      </c>
      <c r="I458" s="112">
        <f>SUM(I455:I457)</f>
        <v>43.329000000000001</v>
      </c>
      <c r="J458" s="112">
        <f t="shared" ref="J458" si="144">SUM(J455:J457)</f>
        <v>163.81899999999999</v>
      </c>
      <c r="K458" s="112">
        <f t="shared" ref="K458" si="145">SUM(K455:K457)</f>
        <v>371.85300000000001</v>
      </c>
      <c r="L458" s="112">
        <f t="shared" ref="L458" si="146">SUM(L455:L457)</f>
        <v>311.61599999999999</v>
      </c>
      <c r="M458" s="112">
        <f t="shared" ref="M458" si="147">SUM(M455:M457)</f>
        <v>177.03100000000001</v>
      </c>
      <c r="N458" s="112">
        <f t="shared" ref="N458" si="148">SUM(N455:N457)</f>
        <v>7.036999999999999</v>
      </c>
      <c r="O458" s="122">
        <f t="shared" si="104"/>
        <v>1074.6849999999999</v>
      </c>
      <c r="P458" s="112">
        <f>SUM(P455:P457)</f>
        <v>93.953000000000003</v>
      </c>
      <c r="Q458" s="112">
        <f t="shared" ref="Q458" si="149">SUM(Q455:Q457)</f>
        <v>398.16300000000001</v>
      </c>
      <c r="R458" s="112">
        <f t="shared" ref="R458" si="150">SUM(R455:R457)</f>
        <v>963.45100000000002</v>
      </c>
      <c r="S458" s="112">
        <f t="shared" ref="S458" si="151">SUM(S455:S457)</f>
        <v>899.95399999999995</v>
      </c>
      <c r="T458" s="112">
        <f t="shared" ref="T458" si="152">SUM(T455:T457)</f>
        <v>410.34499999999997</v>
      </c>
      <c r="U458" s="112">
        <f t="shared" ref="U458" si="153">SUM(U455:U457)</f>
        <v>7.036999999999999</v>
      </c>
      <c r="V458" s="112">
        <f t="shared" si="142"/>
        <v>2772.9029999999993</v>
      </c>
    </row>
    <row r="459" spans="1:22" x14ac:dyDescent="0.2">
      <c r="A459" s="47"/>
      <c r="B459" s="112"/>
      <c r="C459" s="112"/>
      <c r="D459" s="112"/>
      <c r="E459" s="112"/>
      <c r="F459" s="112"/>
      <c r="G459" s="112"/>
      <c r="H459" s="122"/>
      <c r="I459" s="112"/>
      <c r="J459" s="112"/>
      <c r="K459" s="112"/>
      <c r="L459" s="112"/>
      <c r="M459" s="112"/>
      <c r="N459" s="112"/>
      <c r="O459" s="122"/>
      <c r="P459" s="112"/>
      <c r="Q459" s="112"/>
      <c r="R459" s="112"/>
      <c r="S459" s="112"/>
      <c r="T459" s="112"/>
      <c r="U459" s="112"/>
      <c r="V459" s="112"/>
    </row>
    <row r="460" spans="1:22" x14ac:dyDescent="0.2">
      <c r="A460" s="47">
        <v>2023</v>
      </c>
      <c r="B460" s="112"/>
      <c r="C460" s="112"/>
      <c r="D460" s="112"/>
      <c r="E460" s="112"/>
      <c r="F460" s="112"/>
      <c r="G460" s="112"/>
      <c r="H460" s="122"/>
      <c r="I460" s="112"/>
      <c r="J460" s="112"/>
      <c r="K460" s="112"/>
      <c r="L460" s="112"/>
      <c r="M460" s="112"/>
      <c r="N460" s="112"/>
      <c r="O460" s="122"/>
      <c r="P460" s="112"/>
      <c r="Q460" s="112"/>
      <c r="R460" s="112"/>
      <c r="S460" s="112"/>
      <c r="T460" s="112"/>
      <c r="U460" s="112"/>
      <c r="V460" s="112"/>
    </row>
    <row r="461" spans="1:22" x14ac:dyDescent="0.2">
      <c r="A461" s="47" t="s">
        <v>74</v>
      </c>
      <c r="B461" s="112">
        <v>16.059999999999999</v>
      </c>
      <c r="C461" s="112">
        <v>80.289000000000001</v>
      </c>
      <c r="D461" s="112">
        <v>205.46899999999999</v>
      </c>
      <c r="E461" s="112">
        <v>187.68</v>
      </c>
      <c r="F461" s="112">
        <v>77.281999999999996</v>
      </c>
      <c r="G461" s="112">
        <v>0</v>
      </c>
      <c r="H461" s="122">
        <f t="shared" ref="H461:H467" si="154">SUM(B461:G461)</f>
        <v>566.78</v>
      </c>
      <c r="I461" s="112">
        <v>12.234999999999999</v>
      </c>
      <c r="J461" s="112">
        <v>48.56</v>
      </c>
      <c r="K461" s="112">
        <v>96.915999999999997</v>
      </c>
      <c r="L461" s="112">
        <v>92.620999999999995</v>
      </c>
      <c r="M461" s="112">
        <v>50.689</v>
      </c>
      <c r="N461" s="112">
        <v>2.379</v>
      </c>
      <c r="O461" s="122">
        <f t="shared" ref="O461:O464" si="155">SUM(I461:N461)</f>
        <v>303.40000000000003</v>
      </c>
      <c r="P461" s="112">
        <f t="shared" ref="P461" si="156">B461+I461</f>
        <v>28.294999999999998</v>
      </c>
      <c r="Q461" s="112">
        <f t="shared" ref="Q461" si="157">C461+J461</f>
        <v>128.84899999999999</v>
      </c>
      <c r="R461" s="112">
        <f t="shared" ref="R461" si="158">D461+K461</f>
        <v>302.38499999999999</v>
      </c>
      <c r="S461" s="112">
        <f t="shared" ref="S461" si="159">E461+L461</f>
        <v>280.30099999999999</v>
      </c>
      <c r="T461" s="112">
        <f t="shared" ref="T461" si="160">F461+M461</f>
        <v>127.971</v>
      </c>
      <c r="U461" s="112">
        <f t="shared" ref="U461" si="161">G461+N461</f>
        <v>2.379</v>
      </c>
      <c r="V461" s="112">
        <f t="shared" ref="V461" si="162">SUM(P461:U461)</f>
        <v>870.18</v>
      </c>
    </row>
    <row r="462" spans="1:22" x14ac:dyDescent="0.2">
      <c r="A462" s="47" t="s">
        <v>75</v>
      </c>
      <c r="B462" s="112">
        <v>14.188000000000001</v>
      </c>
      <c r="C462" s="112">
        <v>68.370999999999995</v>
      </c>
      <c r="D462" s="112">
        <v>203.64099999999999</v>
      </c>
      <c r="E462" s="112">
        <v>184.44399999999999</v>
      </c>
      <c r="F462" s="112">
        <v>69.171999999999997</v>
      </c>
      <c r="G462" s="112">
        <v>0</v>
      </c>
      <c r="H462" s="122">
        <f t="shared" si="154"/>
        <v>539.81600000000003</v>
      </c>
      <c r="I462" s="112">
        <v>10.896000000000001</v>
      </c>
      <c r="J462" s="112">
        <v>46.404000000000003</v>
      </c>
      <c r="K462" s="112">
        <v>94.76</v>
      </c>
      <c r="L462" s="112">
        <v>88.548000000000002</v>
      </c>
      <c r="M462" s="112">
        <v>48.509</v>
      </c>
      <c r="N462" s="112">
        <v>6.4749999999999996</v>
      </c>
      <c r="O462" s="122">
        <f t="shared" si="155"/>
        <v>295.59200000000004</v>
      </c>
      <c r="P462" s="112">
        <f t="shared" ref="P462" si="163">B462+I462</f>
        <v>25.084000000000003</v>
      </c>
      <c r="Q462" s="112">
        <f t="shared" ref="Q462" si="164">C462+J462</f>
        <v>114.77500000000001</v>
      </c>
      <c r="R462" s="112">
        <f t="shared" ref="R462" si="165">D462+K462</f>
        <v>298.40100000000001</v>
      </c>
      <c r="S462" s="112">
        <f t="shared" ref="S462" si="166">E462+L462</f>
        <v>272.99199999999996</v>
      </c>
      <c r="T462" s="112">
        <f t="shared" ref="T462" si="167">F462+M462</f>
        <v>117.681</v>
      </c>
      <c r="U462" s="112">
        <f t="shared" ref="U462" si="168">G462+N462</f>
        <v>6.4749999999999996</v>
      </c>
      <c r="V462" s="112">
        <f t="shared" ref="V462" si="169">SUM(P462:U462)</f>
        <v>835.40800000000002</v>
      </c>
    </row>
    <row r="463" spans="1:22" x14ac:dyDescent="0.2">
      <c r="A463" s="47" t="s">
        <v>76</v>
      </c>
      <c r="B463" s="112">
        <v>16.047999999999998</v>
      </c>
      <c r="C463" s="112">
        <v>80.58</v>
      </c>
      <c r="D463" s="112">
        <v>216.506</v>
      </c>
      <c r="E463" s="112">
        <v>210.44</v>
      </c>
      <c r="F463" s="112">
        <v>81.515000000000001</v>
      </c>
      <c r="G463" s="112">
        <v>0</v>
      </c>
      <c r="H463" s="122">
        <f t="shared" si="154"/>
        <v>605.08900000000006</v>
      </c>
      <c r="I463" s="112">
        <v>13.448</v>
      </c>
      <c r="J463" s="112">
        <v>54.853999999999999</v>
      </c>
      <c r="K463" s="112">
        <v>110.33499999999999</v>
      </c>
      <c r="L463" s="112">
        <v>100.13800000000001</v>
      </c>
      <c r="M463" s="112">
        <v>55.3</v>
      </c>
      <c r="N463" s="112">
        <v>3.1190000000000002</v>
      </c>
      <c r="O463" s="122">
        <f t="shared" si="155"/>
        <v>337.19400000000002</v>
      </c>
      <c r="P463" s="112">
        <f t="shared" ref="P463:P465" si="170">B463+I463</f>
        <v>29.495999999999999</v>
      </c>
      <c r="Q463" s="112">
        <f t="shared" ref="Q463:Q465" si="171">C463+J463</f>
        <v>135.434</v>
      </c>
      <c r="R463" s="112">
        <f t="shared" ref="R463:R465" si="172">D463+K463</f>
        <v>326.84100000000001</v>
      </c>
      <c r="S463" s="112">
        <f t="shared" ref="S463:S465" si="173">E463+L463</f>
        <v>310.57799999999997</v>
      </c>
      <c r="T463" s="112">
        <f t="shared" ref="T463:T465" si="174">F463+M463</f>
        <v>136.815</v>
      </c>
      <c r="U463" s="112">
        <f t="shared" ref="U463:U465" si="175">G463+N463</f>
        <v>3.1190000000000002</v>
      </c>
      <c r="V463" s="112">
        <f t="shared" ref="V463:V465" si="176">SUM(P463:U463)</f>
        <v>942.28300000000002</v>
      </c>
    </row>
    <row r="464" spans="1:22" x14ac:dyDescent="0.2">
      <c r="A464" s="47" t="s">
        <v>77</v>
      </c>
      <c r="B464" s="112">
        <f>SUM(B461:B463)</f>
        <v>46.295999999999992</v>
      </c>
      <c r="C464" s="112">
        <f t="shared" ref="C464:G464" si="177">SUM(C461:C463)</f>
        <v>229.24</v>
      </c>
      <c r="D464" s="112">
        <f t="shared" si="177"/>
        <v>625.61599999999999</v>
      </c>
      <c r="E464" s="112">
        <f t="shared" si="177"/>
        <v>582.56400000000008</v>
      </c>
      <c r="F464" s="112">
        <f t="shared" si="177"/>
        <v>227.96899999999999</v>
      </c>
      <c r="G464" s="112">
        <f t="shared" si="177"/>
        <v>0</v>
      </c>
      <c r="H464" s="122">
        <f t="shared" si="154"/>
        <v>1711.6850000000002</v>
      </c>
      <c r="I464" s="112">
        <f>SUM(I461:I463)</f>
        <v>36.579000000000001</v>
      </c>
      <c r="J464" s="112">
        <f t="shared" ref="J464:N464" si="178">SUM(J461:J463)</f>
        <v>149.81799999999998</v>
      </c>
      <c r="K464" s="112">
        <f t="shared" si="178"/>
        <v>302.01099999999997</v>
      </c>
      <c r="L464" s="112">
        <f t="shared" si="178"/>
        <v>281.30700000000002</v>
      </c>
      <c r="M464" s="112">
        <f t="shared" si="178"/>
        <v>154.49799999999999</v>
      </c>
      <c r="N464" s="112">
        <f t="shared" si="178"/>
        <v>11.972999999999999</v>
      </c>
      <c r="O464" s="122">
        <f t="shared" si="155"/>
        <v>936.18599999999992</v>
      </c>
      <c r="P464" s="112">
        <f t="shared" si="170"/>
        <v>82.875</v>
      </c>
      <c r="Q464" s="112">
        <f t="shared" si="171"/>
        <v>379.05799999999999</v>
      </c>
      <c r="R464" s="112">
        <f t="shared" si="172"/>
        <v>927.62699999999995</v>
      </c>
      <c r="S464" s="112">
        <f t="shared" si="173"/>
        <v>863.87100000000009</v>
      </c>
      <c r="T464" s="112">
        <f t="shared" si="174"/>
        <v>382.46699999999998</v>
      </c>
      <c r="U464" s="112">
        <f t="shared" si="175"/>
        <v>11.972999999999999</v>
      </c>
      <c r="V464" s="112">
        <f t="shared" si="176"/>
        <v>2647.8710000000001</v>
      </c>
    </row>
    <row r="465" spans="1:22" x14ac:dyDescent="0.2">
      <c r="A465" s="47" t="s">
        <v>78</v>
      </c>
      <c r="B465" s="112">
        <v>17.783999999999999</v>
      </c>
      <c r="C465" s="112">
        <v>76.83</v>
      </c>
      <c r="D465" s="112">
        <v>174.928</v>
      </c>
      <c r="E465" s="112">
        <v>189.67500000000001</v>
      </c>
      <c r="F465" s="112">
        <v>78.239999999999995</v>
      </c>
      <c r="G465" s="112">
        <v>0</v>
      </c>
      <c r="H465" s="122">
        <f t="shared" si="154"/>
        <v>537.45699999999999</v>
      </c>
      <c r="I465" s="112">
        <v>14.180999999999999</v>
      </c>
      <c r="J465" s="112">
        <v>57.970999999999997</v>
      </c>
      <c r="K465" s="112">
        <v>97.34</v>
      </c>
      <c r="L465" s="112">
        <v>89.492000000000004</v>
      </c>
      <c r="M465" s="112">
        <v>60.802999999999997</v>
      </c>
      <c r="N465" s="112">
        <v>2.347</v>
      </c>
      <c r="O465" s="122">
        <f>SUM(I465:N465)</f>
        <v>322.13400000000001</v>
      </c>
      <c r="P465" s="112">
        <f t="shared" si="170"/>
        <v>31.964999999999996</v>
      </c>
      <c r="Q465" s="112">
        <f t="shared" si="171"/>
        <v>134.80099999999999</v>
      </c>
      <c r="R465" s="112">
        <f t="shared" si="172"/>
        <v>272.26800000000003</v>
      </c>
      <c r="S465" s="112">
        <f t="shared" si="173"/>
        <v>279.16700000000003</v>
      </c>
      <c r="T465" s="112">
        <f t="shared" si="174"/>
        <v>139.04300000000001</v>
      </c>
      <c r="U465" s="112">
        <f t="shared" si="175"/>
        <v>2.347</v>
      </c>
      <c r="V465" s="112">
        <f t="shared" si="176"/>
        <v>859.59100000000001</v>
      </c>
    </row>
    <row r="466" spans="1:22" x14ac:dyDescent="0.2">
      <c r="A466" s="47" t="s">
        <v>79</v>
      </c>
      <c r="B466" s="112">
        <v>14.616</v>
      </c>
      <c r="C466" s="112">
        <v>80.108000000000004</v>
      </c>
      <c r="D466" s="112">
        <v>197.977</v>
      </c>
      <c r="E466" s="112">
        <v>195.15199999999999</v>
      </c>
      <c r="F466" s="112">
        <v>81.909000000000006</v>
      </c>
      <c r="G466" s="112">
        <v>0</v>
      </c>
      <c r="H466" s="122">
        <f t="shared" si="154"/>
        <v>569.76200000000006</v>
      </c>
      <c r="I466" s="112">
        <v>11.442</v>
      </c>
      <c r="J466" s="112">
        <v>51.308</v>
      </c>
      <c r="K466" s="112">
        <v>113.539</v>
      </c>
      <c r="L466" s="112">
        <v>104.048</v>
      </c>
      <c r="M466" s="112">
        <v>54.023000000000003</v>
      </c>
      <c r="N466" s="112">
        <v>2.14</v>
      </c>
      <c r="O466" s="122">
        <f>SUM(I466:N466)</f>
        <v>336.5</v>
      </c>
      <c r="P466" s="112">
        <f t="shared" ref="P466" si="179">B466+I466</f>
        <v>26.058</v>
      </c>
      <c r="Q466" s="112">
        <f t="shared" ref="Q466" si="180">C466+J466</f>
        <v>131.416</v>
      </c>
      <c r="R466" s="112">
        <f t="shared" ref="R466" si="181">D466+K466</f>
        <v>311.51600000000002</v>
      </c>
      <c r="S466" s="112">
        <f t="shared" ref="S466" si="182">E466+L466</f>
        <v>299.2</v>
      </c>
      <c r="T466" s="112">
        <f t="shared" ref="T466" si="183">F466+M466</f>
        <v>135.93200000000002</v>
      </c>
      <c r="U466" s="112">
        <f t="shared" ref="U466" si="184">G466+N466</f>
        <v>2.14</v>
      </c>
      <c r="V466" s="112">
        <f t="shared" ref="V466" si="185">SUM(P466:U466)</f>
        <v>906.26200000000006</v>
      </c>
    </row>
    <row r="467" spans="1:22" x14ac:dyDescent="0.2">
      <c r="A467" s="47" t="s">
        <v>89</v>
      </c>
      <c r="B467" s="112">
        <v>14.884</v>
      </c>
      <c r="C467" s="112">
        <v>74.498999999999995</v>
      </c>
      <c r="D467" s="112">
        <v>203.78399999999999</v>
      </c>
      <c r="E467" s="112">
        <v>195.70500000000001</v>
      </c>
      <c r="F467" s="112">
        <v>78.406000000000006</v>
      </c>
      <c r="G467" s="112">
        <v>0</v>
      </c>
      <c r="H467" s="122">
        <f t="shared" si="154"/>
        <v>567.27800000000002</v>
      </c>
      <c r="I467" s="112">
        <v>11.106999999999999</v>
      </c>
      <c r="J467" s="112">
        <v>47.119</v>
      </c>
      <c r="K467" s="112">
        <v>114.14400000000001</v>
      </c>
      <c r="L467" s="112">
        <v>98.673000000000002</v>
      </c>
      <c r="M467" s="112">
        <v>52.601999999999997</v>
      </c>
      <c r="N467" s="112">
        <v>2.157</v>
      </c>
      <c r="O467" s="122">
        <f>SUM(I467:N467)</f>
        <v>325.80199999999996</v>
      </c>
      <c r="P467" s="112">
        <f t="shared" ref="P467" si="186">B467+I467</f>
        <v>25.991</v>
      </c>
      <c r="Q467" s="112">
        <f t="shared" ref="Q467" si="187">C467+J467</f>
        <v>121.61799999999999</v>
      </c>
      <c r="R467" s="112">
        <f t="shared" ref="R467" si="188">D467+K467</f>
        <v>317.928</v>
      </c>
      <c r="S467" s="112">
        <f t="shared" ref="S467" si="189">E467+L467</f>
        <v>294.37800000000004</v>
      </c>
      <c r="T467" s="112">
        <f t="shared" ref="T467" si="190">F467+M467</f>
        <v>131.00800000000001</v>
      </c>
      <c r="U467" s="112">
        <f t="shared" ref="U467" si="191">G467+N467</f>
        <v>2.157</v>
      </c>
      <c r="V467" s="112">
        <f t="shared" ref="V467" si="192">SUM(P467:U467)</f>
        <v>893.08</v>
      </c>
    </row>
    <row r="468" spans="1:22" x14ac:dyDescent="0.2">
      <c r="A468" s="47" t="s">
        <v>80</v>
      </c>
      <c r="B468" s="112">
        <f>SUM(B465:B467)</f>
        <v>47.283999999999999</v>
      </c>
      <c r="C468" s="112">
        <f t="shared" ref="C468:G468" si="193">SUM(C465:C467)</f>
        <v>231.43699999999998</v>
      </c>
      <c r="D468" s="112">
        <f t="shared" si="193"/>
        <v>576.68899999999996</v>
      </c>
      <c r="E468" s="112">
        <f t="shared" si="193"/>
        <v>580.53200000000004</v>
      </c>
      <c r="F468" s="112">
        <f t="shared" si="193"/>
        <v>238.55500000000001</v>
      </c>
      <c r="G468" s="112">
        <f t="shared" si="193"/>
        <v>0</v>
      </c>
      <c r="H468" s="122">
        <f t="shared" ref="H468:H471" si="194">SUM(B468:G468)</f>
        <v>1674.4970000000001</v>
      </c>
      <c r="I468" s="112">
        <f>SUM(I465:I467)</f>
        <v>36.729999999999997</v>
      </c>
      <c r="J468" s="112">
        <f t="shared" ref="J468:N468" si="195">SUM(J465:J467)</f>
        <v>156.398</v>
      </c>
      <c r="K468" s="112">
        <f t="shared" si="195"/>
        <v>325.02300000000002</v>
      </c>
      <c r="L468" s="112">
        <f t="shared" si="195"/>
        <v>292.21300000000002</v>
      </c>
      <c r="M468" s="112">
        <f t="shared" si="195"/>
        <v>167.428</v>
      </c>
      <c r="N468" s="112">
        <f t="shared" si="195"/>
        <v>6.6440000000000001</v>
      </c>
      <c r="O468" s="122">
        <f t="shared" ref="O468:O471" si="196">SUM(I468:N468)</f>
        <v>984.43600000000004</v>
      </c>
      <c r="P468" s="112">
        <f t="shared" ref="P468:P469" si="197">B468+I468</f>
        <v>84.013999999999996</v>
      </c>
      <c r="Q468" s="112">
        <f t="shared" ref="Q468:Q469" si="198">C468+J468</f>
        <v>387.83499999999998</v>
      </c>
      <c r="R468" s="112">
        <f t="shared" ref="R468:R469" si="199">D468+K468</f>
        <v>901.71199999999999</v>
      </c>
      <c r="S468" s="112">
        <f t="shared" ref="S468:S469" si="200">E468+L468</f>
        <v>872.74500000000012</v>
      </c>
      <c r="T468" s="112">
        <f t="shared" ref="T468:T469" si="201">F468+M468</f>
        <v>405.983</v>
      </c>
      <c r="U468" s="112">
        <f t="shared" ref="U468:U469" si="202">G468+N468</f>
        <v>6.6440000000000001</v>
      </c>
      <c r="V468" s="112">
        <f t="shared" ref="V468:V471" si="203">SUM(P468:U468)</f>
        <v>2658.933</v>
      </c>
    </row>
    <row r="469" spans="1:22" x14ac:dyDescent="0.2">
      <c r="A469" s="47" t="s">
        <v>90</v>
      </c>
      <c r="B469" s="112">
        <v>16.263000000000002</v>
      </c>
      <c r="C469" s="112">
        <v>78.936000000000007</v>
      </c>
      <c r="D469" s="112">
        <v>201.995</v>
      </c>
      <c r="E469" s="112">
        <v>190.655</v>
      </c>
      <c r="F469" s="112">
        <v>81.525000000000006</v>
      </c>
      <c r="G469" s="112">
        <v>0</v>
      </c>
      <c r="H469" s="122">
        <f t="shared" si="194"/>
        <v>569.37400000000002</v>
      </c>
      <c r="I469" s="112">
        <v>12.872</v>
      </c>
      <c r="J469" s="112">
        <v>52.6</v>
      </c>
      <c r="K469" s="112">
        <v>114.389</v>
      </c>
      <c r="L469" s="112">
        <v>107.209</v>
      </c>
      <c r="M469" s="112">
        <v>60.664999999999999</v>
      </c>
      <c r="N469" s="112">
        <v>2.754</v>
      </c>
      <c r="O469" s="122">
        <f t="shared" si="196"/>
        <v>350.48900000000003</v>
      </c>
      <c r="P469" s="112">
        <f t="shared" si="197"/>
        <v>29.135000000000002</v>
      </c>
      <c r="Q469" s="112">
        <f t="shared" si="198"/>
        <v>131.536</v>
      </c>
      <c r="R469" s="112">
        <f t="shared" si="199"/>
        <v>316.38400000000001</v>
      </c>
      <c r="S469" s="112">
        <f t="shared" si="200"/>
        <v>297.86400000000003</v>
      </c>
      <c r="T469" s="112">
        <f t="shared" si="201"/>
        <v>142.19</v>
      </c>
      <c r="U469" s="112">
        <f t="shared" si="202"/>
        <v>2.754</v>
      </c>
      <c r="V469" s="112">
        <f t="shared" si="203"/>
        <v>919.86300000000017</v>
      </c>
    </row>
    <row r="470" spans="1:22" x14ac:dyDescent="0.2">
      <c r="A470" s="47" t="s">
        <v>81</v>
      </c>
      <c r="B470" s="112">
        <v>15.366</v>
      </c>
      <c r="C470" s="112">
        <v>78.036000000000001</v>
      </c>
      <c r="D470" s="112">
        <v>223.512</v>
      </c>
      <c r="E470" s="112">
        <v>201.69399999999999</v>
      </c>
      <c r="F470" s="112">
        <v>88.935000000000002</v>
      </c>
      <c r="G470" s="112">
        <v>0</v>
      </c>
      <c r="H470" s="122">
        <f t="shared" si="194"/>
        <v>607.54299999999989</v>
      </c>
      <c r="I470" s="112">
        <v>11.926</v>
      </c>
      <c r="J470" s="112">
        <v>48.744999999999997</v>
      </c>
      <c r="K470" s="112">
        <v>122.61199999999999</v>
      </c>
      <c r="L470" s="112">
        <v>98.754000000000005</v>
      </c>
      <c r="M470" s="112">
        <v>62.52</v>
      </c>
      <c r="N470" s="112">
        <v>2.1909999999999998</v>
      </c>
      <c r="O470" s="122">
        <f t="shared" si="196"/>
        <v>346.74799999999993</v>
      </c>
      <c r="P470" s="112">
        <f t="shared" ref="P470" si="204">B470+I470</f>
        <v>27.292000000000002</v>
      </c>
      <c r="Q470" s="112">
        <f t="shared" ref="Q470" si="205">C470+J470</f>
        <v>126.78100000000001</v>
      </c>
      <c r="R470" s="112">
        <f t="shared" ref="R470" si="206">D470+K470</f>
        <v>346.12400000000002</v>
      </c>
      <c r="S470" s="112">
        <f t="shared" ref="S470" si="207">E470+L470</f>
        <v>300.44799999999998</v>
      </c>
      <c r="T470" s="112">
        <f t="shared" ref="T470" si="208">F470+M470</f>
        <v>151.45500000000001</v>
      </c>
      <c r="U470" s="112">
        <f t="shared" ref="U470" si="209">G470+N470</f>
        <v>2.1909999999999998</v>
      </c>
      <c r="V470" s="112">
        <f t="shared" si="203"/>
        <v>954.29100000000005</v>
      </c>
    </row>
    <row r="471" spans="1:22" x14ac:dyDescent="0.2">
      <c r="A471" s="47" t="s">
        <v>82</v>
      </c>
      <c r="B471" s="112">
        <v>14.83</v>
      </c>
      <c r="C471" s="112">
        <v>70.405000000000001</v>
      </c>
      <c r="D471" s="112">
        <v>205.65700000000001</v>
      </c>
      <c r="E471" s="112">
        <v>187.249</v>
      </c>
      <c r="F471" s="112">
        <v>83.009</v>
      </c>
      <c r="G471" s="112">
        <v>0</v>
      </c>
      <c r="H471" s="122">
        <f t="shared" si="194"/>
        <v>561.15</v>
      </c>
      <c r="I471" s="112">
        <v>12.487</v>
      </c>
      <c r="J471" s="112">
        <v>49.878</v>
      </c>
      <c r="K471" s="112">
        <v>113.94499999999999</v>
      </c>
      <c r="L471" s="112">
        <v>107.94</v>
      </c>
      <c r="M471" s="112">
        <v>65.849999999999994</v>
      </c>
      <c r="N471" s="112">
        <v>2.2970000000000002</v>
      </c>
      <c r="O471" s="122">
        <f t="shared" si="196"/>
        <v>352.39700000000005</v>
      </c>
      <c r="P471" s="112">
        <f t="shared" ref="P471" si="210">B471+I471</f>
        <v>27.317</v>
      </c>
      <c r="Q471" s="112">
        <f t="shared" ref="Q471" si="211">C471+J471</f>
        <v>120.283</v>
      </c>
      <c r="R471" s="112">
        <f t="shared" ref="R471" si="212">D471+K471</f>
        <v>319.60199999999998</v>
      </c>
      <c r="S471" s="112">
        <f t="shared" ref="S471" si="213">E471+L471</f>
        <v>295.18899999999996</v>
      </c>
      <c r="T471" s="112">
        <f t="shared" ref="T471" si="214">F471+M471</f>
        <v>148.85899999999998</v>
      </c>
      <c r="U471" s="112">
        <f t="shared" ref="U471" si="215">G471+N471</f>
        <v>2.2970000000000002</v>
      </c>
      <c r="V471" s="112">
        <f t="shared" si="203"/>
        <v>913.54700000000003</v>
      </c>
    </row>
    <row r="472" spans="1:22" x14ac:dyDescent="0.2">
      <c r="A472" s="47" t="s">
        <v>83</v>
      </c>
      <c r="B472" s="112">
        <f>SUM(B469:B471)</f>
        <v>46.459000000000003</v>
      </c>
      <c r="C472" s="112">
        <f t="shared" ref="C472:G472" si="216">SUM(C469:C471)</f>
        <v>227.37700000000001</v>
      </c>
      <c r="D472" s="112">
        <f t="shared" si="216"/>
        <v>631.16399999999999</v>
      </c>
      <c r="E472" s="112">
        <f t="shared" si="216"/>
        <v>579.59799999999996</v>
      </c>
      <c r="F472" s="112">
        <f t="shared" si="216"/>
        <v>253.46899999999999</v>
      </c>
      <c r="G472" s="112">
        <f t="shared" si="216"/>
        <v>0</v>
      </c>
      <c r="H472" s="122">
        <f t="shared" ref="H472:H476" si="217">SUM(B472:G472)</f>
        <v>1738.067</v>
      </c>
      <c r="I472" s="112">
        <f>SUM(I469:I471)</f>
        <v>37.285000000000004</v>
      </c>
      <c r="J472" s="112">
        <f t="shared" ref="J472:N472" si="218">SUM(J469:J471)</f>
        <v>151.22300000000001</v>
      </c>
      <c r="K472" s="112">
        <f t="shared" si="218"/>
        <v>350.94599999999997</v>
      </c>
      <c r="L472" s="112">
        <f t="shared" si="218"/>
        <v>313.90300000000002</v>
      </c>
      <c r="M472" s="112">
        <f t="shared" si="218"/>
        <v>189.035</v>
      </c>
      <c r="N472" s="112">
        <f t="shared" si="218"/>
        <v>7.2420000000000009</v>
      </c>
      <c r="O472" s="122">
        <f t="shared" ref="O472:O476" si="219">SUM(I472:N472)</f>
        <v>1049.634</v>
      </c>
      <c r="P472" s="112">
        <f t="shared" ref="P472" si="220">B472+I472</f>
        <v>83.744</v>
      </c>
      <c r="Q472" s="112">
        <f t="shared" ref="Q472" si="221">C472+J472</f>
        <v>378.6</v>
      </c>
      <c r="R472" s="112">
        <f t="shared" ref="R472" si="222">D472+K472</f>
        <v>982.1099999999999</v>
      </c>
      <c r="S472" s="112">
        <f t="shared" ref="S472" si="223">E472+L472</f>
        <v>893.50099999999998</v>
      </c>
      <c r="T472" s="112">
        <f t="shared" ref="T472" si="224">F472+M472</f>
        <v>442.50400000000002</v>
      </c>
      <c r="U472" s="112">
        <f t="shared" ref="U472" si="225">G472+N472</f>
        <v>7.2420000000000009</v>
      </c>
      <c r="V472" s="112">
        <f t="shared" ref="V472" si="226">SUM(P472:U472)</f>
        <v>2787.701</v>
      </c>
    </row>
    <row r="473" spans="1:22" x14ac:dyDescent="0.2">
      <c r="A473" s="47" t="s">
        <v>85</v>
      </c>
      <c r="B473" s="112">
        <v>22.023</v>
      </c>
      <c r="C473" s="112">
        <v>89.135000000000005</v>
      </c>
      <c r="D473" s="112">
        <v>222.66900000000001</v>
      </c>
      <c r="E473" s="112">
        <v>212.34899999999999</v>
      </c>
      <c r="F473" s="112">
        <v>90.850999999999999</v>
      </c>
      <c r="G473" s="112">
        <v>0</v>
      </c>
      <c r="H473" s="122">
        <f t="shared" si="217"/>
        <v>637.02699999999993</v>
      </c>
      <c r="I473" s="112">
        <v>15.468</v>
      </c>
      <c r="J473" s="112">
        <v>58.570999999999998</v>
      </c>
      <c r="K473" s="112">
        <v>126.827</v>
      </c>
      <c r="L473" s="112">
        <v>117.63200000000001</v>
      </c>
      <c r="M473" s="112">
        <v>64.557000000000002</v>
      </c>
      <c r="N473" s="112">
        <v>2.4860000000000002</v>
      </c>
      <c r="O473" s="122">
        <f t="shared" si="219"/>
        <v>385.541</v>
      </c>
      <c r="P473" s="112">
        <f t="shared" ref="P473" si="227">B473+I473</f>
        <v>37.491</v>
      </c>
      <c r="Q473" s="112">
        <f t="shared" ref="Q473" si="228">C473+J473</f>
        <v>147.70600000000002</v>
      </c>
      <c r="R473" s="112">
        <f t="shared" ref="R473" si="229">D473+K473</f>
        <v>349.49599999999998</v>
      </c>
      <c r="S473" s="112">
        <f t="shared" ref="S473" si="230">E473+L473</f>
        <v>329.98099999999999</v>
      </c>
      <c r="T473" s="112">
        <f t="shared" ref="T473" si="231">F473+M473</f>
        <v>155.40800000000002</v>
      </c>
      <c r="U473" s="112">
        <f t="shared" ref="U473" si="232">G473+N473</f>
        <v>2.4860000000000002</v>
      </c>
      <c r="V473" s="112">
        <f t="shared" ref="V473" si="233">SUM(P473:U473)</f>
        <v>1022.568</v>
      </c>
    </row>
    <row r="474" spans="1:22" x14ac:dyDescent="0.2">
      <c r="A474" s="47" t="s">
        <v>86</v>
      </c>
      <c r="B474" s="112">
        <v>18.492999999999999</v>
      </c>
      <c r="C474" s="112">
        <v>76.290999999999997</v>
      </c>
      <c r="D474" s="112">
        <v>210.19</v>
      </c>
      <c r="E474" s="112">
        <v>181.667</v>
      </c>
      <c r="F474" s="112">
        <v>83.126000000000005</v>
      </c>
      <c r="G474" s="112">
        <v>0</v>
      </c>
      <c r="H474" s="122">
        <f t="shared" si="217"/>
        <v>569.76699999999994</v>
      </c>
      <c r="I474" s="112">
        <v>12.39</v>
      </c>
      <c r="J474" s="112">
        <v>45.253999999999998</v>
      </c>
      <c r="K474" s="112">
        <v>117.22</v>
      </c>
      <c r="L474" s="112">
        <v>102.67</v>
      </c>
      <c r="M474" s="112">
        <v>52.823999999999998</v>
      </c>
      <c r="N474" s="112">
        <v>2.3119999999999998</v>
      </c>
      <c r="O474" s="122">
        <f t="shared" si="219"/>
        <v>332.67</v>
      </c>
      <c r="P474" s="159">
        <f t="shared" ref="P474" si="234">B474+I474</f>
        <v>30.882999999999999</v>
      </c>
      <c r="Q474" s="112">
        <f t="shared" ref="Q474" si="235">C474+J474</f>
        <v>121.54499999999999</v>
      </c>
      <c r="R474" s="112">
        <f t="shared" ref="R474" si="236">D474+K474</f>
        <v>327.40999999999997</v>
      </c>
      <c r="S474" s="112">
        <f t="shared" ref="S474" si="237">E474+L474</f>
        <v>284.33699999999999</v>
      </c>
      <c r="T474" s="112">
        <f t="shared" ref="T474" si="238">F474+M474</f>
        <v>135.94999999999999</v>
      </c>
      <c r="U474" s="112">
        <f t="shared" ref="U474" si="239">G474+N474</f>
        <v>2.3119999999999998</v>
      </c>
      <c r="V474" s="112">
        <f t="shared" ref="V474" si="240">SUM(P474:U474)</f>
        <v>902.43700000000001</v>
      </c>
    </row>
    <row r="475" spans="1:22" x14ac:dyDescent="0.2">
      <c r="A475" s="47" t="s">
        <v>87</v>
      </c>
      <c r="B475" s="112">
        <v>19.527000000000001</v>
      </c>
      <c r="C475" s="112">
        <v>71.831999999999994</v>
      </c>
      <c r="D475" s="112">
        <v>181.86</v>
      </c>
      <c r="E475" s="112">
        <v>175.98599999999999</v>
      </c>
      <c r="F475" s="112">
        <v>74.337000000000003</v>
      </c>
      <c r="G475" s="112">
        <v>0</v>
      </c>
      <c r="H475" s="122">
        <f t="shared" si="217"/>
        <v>523.54200000000003</v>
      </c>
      <c r="I475" s="112">
        <v>14.025</v>
      </c>
      <c r="J475" s="112">
        <v>47.753</v>
      </c>
      <c r="K475" s="112">
        <v>108.43600000000001</v>
      </c>
      <c r="L475" s="112">
        <v>101.36799999999999</v>
      </c>
      <c r="M475" s="112">
        <v>57.168999999999997</v>
      </c>
      <c r="N475" s="112">
        <v>2.657</v>
      </c>
      <c r="O475" s="122">
        <f t="shared" si="219"/>
        <v>331.40799999999996</v>
      </c>
      <c r="P475" s="159">
        <f t="shared" ref="P475" si="241">B475+I475</f>
        <v>33.552</v>
      </c>
      <c r="Q475" s="112">
        <f t="shared" ref="Q475" si="242">C475+J475</f>
        <v>119.58499999999999</v>
      </c>
      <c r="R475" s="112">
        <f t="shared" ref="R475" si="243">D475+K475</f>
        <v>290.29600000000005</v>
      </c>
      <c r="S475" s="112">
        <f t="shared" ref="S475" si="244">E475+L475</f>
        <v>277.35399999999998</v>
      </c>
      <c r="T475" s="112">
        <f t="shared" ref="T475" si="245">F475+M475</f>
        <v>131.506</v>
      </c>
      <c r="U475" s="112">
        <f t="shared" ref="U475" si="246">G475+N475</f>
        <v>2.657</v>
      </c>
      <c r="V475" s="112">
        <f t="shared" ref="V475" si="247">SUM(P475:U475)</f>
        <v>854.95</v>
      </c>
    </row>
    <row r="476" spans="1:22" x14ac:dyDescent="0.2">
      <c r="A476" s="47" t="s">
        <v>84</v>
      </c>
      <c r="B476" s="112">
        <f>SUM(B473:B475)</f>
        <v>60.042999999999999</v>
      </c>
      <c r="C476" s="112">
        <f t="shared" ref="C476:G476" si="248">SUM(C473:C475)</f>
        <v>237.25799999999998</v>
      </c>
      <c r="D476" s="112">
        <f t="shared" si="248"/>
        <v>614.71900000000005</v>
      </c>
      <c r="E476" s="112">
        <f t="shared" si="248"/>
        <v>570.00199999999995</v>
      </c>
      <c r="F476" s="112">
        <f t="shared" si="248"/>
        <v>248.31400000000002</v>
      </c>
      <c r="G476" s="112">
        <f t="shared" si="248"/>
        <v>0</v>
      </c>
      <c r="H476" s="122">
        <f t="shared" si="217"/>
        <v>1730.336</v>
      </c>
      <c r="I476" s="112">
        <f>SUM(I473:I475)</f>
        <v>41.883000000000003</v>
      </c>
      <c r="J476" s="112">
        <f t="shared" ref="J476:N476" si="249">SUM(J473:J475)</f>
        <v>151.57799999999997</v>
      </c>
      <c r="K476" s="112">
        <f t="shared" si="249"/>
        <v>352.483</v>
      </c>
      <c r="L476" s="112">
        <f t="shared" si="249"/>
        <v>321.67</v>
      </c>
      <c r="M476" s="112">
        <f t="shared" si="249"/>
        <v>174.55</v>
      </c>
      <c r="N476" s="112">
        <f t="shared" si="249"/>
        <v>7.4550000000000001</v>
      </c>
      <c r="O476" s="122">
        <f t="shared" si="219"/>
        <v>1049.6189999999999</v>
      </c>
      <c r="P476" s="112">
        <f>SUM(P473:P475)</f>
        <v>101.92599999999999</v>
      </c>
      <c r="Q476" s="112">
        <f t="shared" ref="Q476:U476" si="250">SUM(Q473:Q475)</f>
        <v>388.83599999999996</v>
      </c>
      <c r="R476" s="112">
        <f t="shared" si="250"/>
        <v>967.202</v>
      </c>
      <c r="S476" s="112">
        <f t="shared" si="250"/>
        <v>891.67200000000003</v>
      </c>
      <c r="T476" s="112">
        <f t="shared" si="250"/>
        <v>422.86400000000003</v>
      </c>
      <c r="U476" s="112">
        <f t="shared" si="250"/>
        <v>7.4550000000000001</v>
      </c>
      <c r="V476" s="112">
        <f t="shared" ref="V476" si="251">SUM(P476:U476)</f>
        <v>2779.9549999999999</v>
      </c>
    </row>
    <row r="477" spans="1:22" x14ac:dyDescent="0.2">
      <c r="A477" s="47"/>
      <c r="B477" s="112"/>
      <c r="C477" s="112"/>
      <c r="D477" s="112"/>
      <c r="E477" s="112"/>
      <c r="F477" s="112"/>
      <c r="G477" s="112"/>
      <c r="H477" s="122"/>
      <c r="I477" s="112"/>
      <c r="J477" s="112"/>
      <c r="K477" s="112"/>
      <c r="L477" s="112"/>
      <c r="M477" s="112"/>
      <c r="N477" s="112"/>
      <c r="O477" s="122"/>
      <c r="P477" s="112"/>
      <c r="Q477" s="112"/>
      <c r="R477" s="112"/>
      <c r="S477" s="112"/>
      <c r="T477" s="112"/>
      <c r="U477" s="112"/>
      <c r="V477" s="112"/>
    </row>
    <row r="478" spans="1:22" x14ac:dyDescent="0.2">
      <c r="A478" s="47">
        <v>2024</v>
      </c>
      <c r="B478" s="112"/>
      <c r="C478" s="112"/>
      <c r="D478" s="112"/>
      <c r="E478" s="112"/>
      <c r="F478" s="112"/>
      <c r="G478" s="112"/>
      <c r="H478" s="122"/>
      <c r="I478" s="112"/>
      <c r="J478" s="112"/>
      <c r="K478" s="112"/>
      <c r="L478" s="112"/>
      <c r="M478" s="112"/>
      <c r="N478" s="112"/>
      <c r="O478" s="122"/>
      <c r="P478" s="112"/>
      <c r="Q478" s="112"/>
      <c r="R478" s="112"/>
      <c r="S478" s="112"/>
      <c r="T478" s="112"/>
      <c r="U478" s="112"/>
      <c r="V478" s="112"/>
    </row>
    <row r="479" spans="1:22" x14ac:dyDescent="0.2">
      <c r="A479" s="47" t="s">
        <v>74</v>
      </c>
      <c r="B479" s="112">
        <v>17.356000000000002</v>
      </c>
      <c r="C479" s="112">
        <v>65.844999999999999</v>
      </c>
      <c r="D479" s="112">
        <v>202.86799999999999</v>
      </c>
      <c r="E479" s="112">
        <v>200.71799999999999</v>
      </c>
      <c r="F479" s="112">
        <v>76.076999999999998</v>
      </c>
      <c r="G479" s="112">
        <v>0</v>
      </c>
      <c r="H479" s="122">
        <f>SUM(B479:G479)</f>
        <v>562.86399999999992</v>
      </c>
      <c r="I479" s="112">
        <v>11.311999999999999</v>
      </c>
      <c r="J479" s="112">
        <v>37.070999999999998</v>
      </c>
      <c r="K479" s="112">
        <v>105.34</v>
      </c>
      <c r="L479" s="112">
        <v>69.599000000000004</v>
      </c>
      <c r="M479" s="112">
        <v>47.076999999999998</v>
      </c>
      <c r="N479" s="112">
        <v>1.9990000000000001</v>
      </c>
      <c r="O479" s="122">
        <f t="shared" ref="O479:O481" si="252">SUM(I479:N479)</f>
        <v>272.39800000000002</v>
      </c>
      <c r="P479" s="112">
        <f t="shared" ref="P479" si="253">B479+I479</f>
        <v>28.667999999999999</v>
      </c>
      <c r="Q479" s="112">
        <f t="shared" ref="Q479" si="254">C479+J479</f>
        <v>102.916</v>
      </c>
      <c r="R479" s="112">
        <f t="shared" ref="R479" si="255">D479+K479</f>
        <v>308.20799999999997</v>
      </c>
      <c r="S479" s="112">
        <f t="shared" ref="S479" si="256">E479+L479</f>
        <v>270.31700000000001</v>
      </c>
      <c r="T479" s="112">
        <f t="shared" ref="T479" si="257">F479+M479</f>
        <v>123.154</v>
      </c>
      <c r="U479" s="112">
        <f t="shared" ref="U479" si="258">G479+N479</f>
        <v>1.9990000000000001</v>
      </c>
      <c r="V479" s="112">
        <f t="shared" ref="V479" si="259">SUM(P479:U479)</f>
        <v>835.26199999999994</v>
      </c>
    </row>
    <row r="480" spans="1:22" x14ac:dyDescent="0.2">
      <c r="A480" s="47" t="s">
        <v>75</v>
      </c>
      <c r="B480" s="112">
        <v>18.701000000000001</v>
      </c>
      <c r="C480" s="112">
        <v>70.819000000000003</v>
      </c>
      <c r="D480" s="112">
        <v>207.768</v>
      </c>
      <c r="E480" s="112">
        <v>206.392</v>
      </c>
      <c r="F480" s="112">
        <v>78.427999999999997</v>
      </c>
      <c r="G480" s="112">
        <v>0</v>
      </c>
      <c r="H480" s="122">
        <f>SUM(B480:G480)</f>
        <v>582.10799999999995</v>
      </c>
      <c r="I480" s="112">
        <v>10.734999999999999</v>
      </c>
      <c r="J480" s="112">
        <v>42.128999999999998</v>
      </c>
      <c r="K480" s="112">
        <v>110.506</v>
      </c>
      <c r="L480" s="112">
        <v>74.414000000000001</v>
      </c>
      <c r="M480" s="112">
        <v>53.185000000000002</v>
      </c>
      <c r="N480" s="112">
        <v>2.1389999999999998</v>
      </c>
      <c r="O480" s="122">
        <f t="shared" si="252"/>
        <v>293.108</v>
      </c>
      <c r="P480" s="112">
        <f t="shared" ref="P480" si="260">B480+I480</f>
        <v>29.436</v>
      </c>
      <c r="Q480" s="112">
        <f t="shared" ref="Q480" si="261">C480+J480</f>
        <v>112.94800000000001</v>
      </c>
      <c r="R480" s="112">
        <f t="shared" ref="R480" si="262">D480+K480</f>
        <v>318.274</v>
      </c>
      <c r="S480" s="112">
        <f t="shared" ref="S480" si="263">E480+L480</f>
        <v>280.80599999999998</v>
      </c>
      <c r="T480" s="112">
        <f t="shared" ref="T480" si="264">F480+M480</f>
        <v>131.613</v>
      </c>
      <c r="U480" s="112">
        <f t="shared" ref="U480" si="265">G480+N480</f>
        <v>2.1389999999999998</v>
      </c>
      <c r="V480" s="112">
        <f t="shared" ref="V480" si="266">SUM(P480:U480)</f>
        <v>875.21600000000001</v>
      </c>
    </row>
    <row r="481" spans="1:22" x14ac:dyDescent="0.2">
      <c r="A481" s="47" t="s">
        <v>76</v>
      </c>
      <c r="B481" s="112">
        <v>23.125</v>
      </c>
      <c r="C481" s="112">
        <v>82.325999999999993</v>
      </c>
      <c r="D481" s="112">
        <v>212.321</v>
      </c>
      <c r="E481" s="112">
        <v>204.51</v>
      </c>
      <c r="F481" s="112">
        <v>87.036000000000001</v>
      </c>
      <c r="G481" s="112">
        <v>0</v>
      </c>
      <c r="H481" s="122">
        <f>SUM(B481:G481)</f>
        <v>609.31799999999998</v>
      </c>
      <c r="I481" s="112">
        <v>17.471</v>
      </c>
      <c r="J481" s="112">
        <v>47.978999999999999</v>
      </c>
      <c r="K481" s="112">
        <v>121.627</v>
      </c>
      <c r="L481" s="112">
        <v>83.75</v>
      </c>
      <c r="M481" s="112">
        <v>68.727999999999994</v>
      </c>
      <c r="N481" s="112">
        <v>2.8359999999999999</v>
      </c>
      <c r="O481" s="122">
        <f t="shared" si="252"/>
        <v>342.39100000000002</v>
      </c>
      <c r="P481" s="112">
        <f t="shared" ref="P481" si="267">B481+I481</f>
        <v>40.596000000000004</v>
      </c>
      <c r="Q481" s="112">
        <f t="shared" ref="Q481" si="268">C481+J481</f>
        <v>130.30500000000001</v>
      </c>
      <c r="R481" s="112">
        <f t="shared" ref="R481" si="269">D481+K481</f>
        <v>333.94799999999998</v>
      </c>
      <c r="S481" s="112">
        <f t="shared" ref="S481" si="270">E481+L481</f>
        <v>288.26</v>
      </c>
      <c r="T481" s="112">
        <f t="shared" ref="T481" si="271">F481+M481</f>
        <v>155.76400000000001</v>
      </c>
      <c r="U481" s="112">
        <f t="shared" ref="U481" si="272">G481+N481</f>
        <v>2.8359999999999999</v>
      </c>
      <c r="V481" s="112">
        <f t="shared" ref="V481" si="273">SUM(P481:U481)</f>
        <v>951.70899999999995</v>
      </c>
    </row>
    <row r="482" spans="1:22" x14ac:dyDescent="0.2">
      <c r="A482" s="47" t="s">
        <v>77</v>
      </c>
      <c r="B482" s="112">
        <f>SUM(B479:B481)</f>
        <v>59.182000000000002</v>
      </c>
      <c r="C482" s="112">
        <f t="shared" ref="C482:G482" si="274">SUM(C479:C481)</f>
        <v>218.98999999999998</v>
      </c>
      <c r="D482" s="112">
        <f t="shared" si="274"/>
        <v>622.95699999999999</v>
      </c>
      <c r="E482" s="112">
        <f t="shared" si="274"/>
        <v>611.62</v>
      </c>
      <c r="F482" s="112">
        <f t="shared" si="274"/>
        <v>241.541</v>
      </c>
      <c r="G482" s="112">
        <f t="shared" si="274"/>
        <v>0</v>
      </c>
      <c r="H482" s="122">
        <f t="shared" ref="H482" si="275">SUM(B482:G482)</f>
        <v>1754.2899999999997</v>
      </c>
      <c r="I482" s="112">
        <f>SUM(I479:I481)</f>
        <v>39.518000000000001</v>
      </c>
      <c r="J482" s="112">
        <f t="shared" ref="J482:N482" si="276">SUM(J479:J481)</f>
        <v>127.17899999999999</v>
      </c>
      <c r="K482" s="112">
        <f t="shared" si="276"/>
        <v>337.47300000000001</v>
      </c>
      <c r="L482" s="112">
        <f t="shared" si="276"/>
        <v>227.76300000000001</v>
      </c>
      <c r="M482" s="112">
        <f t="shared" si="276"/>
        <v>168.99</v>
      </c>
      <c r="N482" s="112">
        <f t="shared" si="276"/>
        <v>6.9740000000000002</v>
      </c>
      <c r="O482" s="122">
        <f t="shared" ref="O482:O489" si="277">SUM(I482:N482)</f>
        <v>907.89700000000005</v>
      </c>
      <c r="P482" s="112">
        <f t="shared" ref="P482" si="278">B482+I482</f>
        <v>98.7</v>
      </c>
      <c r="Q482" s="112">
        <f t="shared" ref="Q482" si="279">C482+J482</f>
        <v>346.16899999999998</v>
      </c>
      <c r="R482" s="112">
        <f t="shared" ref="R482" si="280">D482+K482</f>
        <v>960.43000000000006</v>
      </c>
      <c r="S482" s="112">
        <f t="shared" ref="S482" si="281">E482+L482</f>
        <v>839.38300000000004</v>
      </c>
      <c r="T482" s="112">
        <f t="shared" ref="T482" si="282">F482+M482</f>
        <v>410.53100000000001</v>
      </c>
      <c r="U482" s="112">
        <f t="shared" ref="U482" si="283">G482+N482</f>
        <v>6.9740000000000002</v>
      </c>
      <c r="V482" s="112">
        <f t="shared" ref="V482" si="284">SUM(P482:U482)</f>
        <v>2662.1869999999999</v>
      </c>
    </row>
    <row r="483" spans="1:22" x14ac:dyDescent="0.2">
      <c r="A483" s="47" t="s">
        <v>78</v>
      </c>
      <c r="B483" s="112">
        <v>19.245999999999999</v>
      </c>
      <c r="C483" s="112">
        <v>74.5</v>
      </c>
      <c r="D483" s="112">
        <v>212.49100000000001</v>
      </c>
      <c r="E483" s="112">
        <v>214.03</v>
      </c>
      <c r="F483" s="112">
        <v>81.713999999999999</v>
      </c>
      <c r="G483" s="112">
        <v>0</v>
      </c>
      <c r="H483" s="122">
        <f>SUM(B483:G483)</f>
        <v>601.98099999999999</v>
      </c>
      <c r="I483" s="112">
        <v>12.24</v>
      </c>
      <c r="J483" s="112">
        <v>41.710999999999999</v>
      </c>
      <c r="K483" s="112">
        <v>108.998</v>
      </c>
      <c r="L483" s="112">
        <v>81.706999999999994</v>
      </c>
      <c r="M483" s="112">
        <v>53.186999999999998</v>
      </c>
      <c r="N483" s="112">
        <v>2.0870000000000002</v>
      </c>
      <c r="O483" s="122">
        <f t="shared" si="277"/>
        <v>299.93</v>
      </c>
      <c r="P483" s="112">
        <f t="shared" ref="P483" si="285">B483+I483</f>
        <v>31.485999999999997</v>
      </c>
      <c r="Q483" s="112">
        <f t="shared" ref="Q483" si="286">C483+J483</f>
        <v>116.211</v>
      </c>
      <c r="R483" s="112">
        <f t="shared" ref="R483" si="287">D483+K483</f>
        <v>321.48900000000003</v>
      </c>
      <c r="S483" s="112">
        <f t="shared" ref="S483" si="288">E483+L483</f>
        <v>295.73699999999997</v>
      </c>
      <c r="T483" s="112">
        <f t="shared" ref="T483" si="289">F483+M483</f>
        <v>134.90100000000001</v>
      </c>
      <c r="U483" s="112">
        <f t="shared" ref="U483" si="290">G483+N483</f>
        <v>2.0870000000000002</v>
      </c>
      <c r="V483" s="112">
        <f t="shared" ref="V483" si="291">SUM(P483:U483)</f>
        <v>901.91100000000006</v>
      </c>
    </row>
    <row r="484" spans="1:22" x14ac:dyDescent="0.2">
      <c r="A484" s="47" t="s">
        <v>79</v>
      </c>
      <c r="B484" s="112">
        <v>20.286000000000001</v>
      </c>
      <c r="C484" s="112">
        <v>70.972999999999999</v>
      </c>
      <c r="D484" s="112">
        <v>210.36600000000001</v>
      </c>
      <c r="E484" s="112">
        <v>212.88</v>
      </c>
      <c r="F484" s="112">
        <v>83.594999999999999</v>
      </c>
      <c r="G484" s="112">
        <v>0</v>
      </c>
      <c r="H484" s="122">
        <f>SUM(B484:G484)</f>
        <v>598.1</v>
      </c>
      <c r="I484" s="112">
        <v>13.948</v>
      </c>
      <c r="J484" s="112">
        <v>49.938000000000002</v>
      </c>
      <c r="K484" s="112">
        <v>98.772000000000006</v>
      </c>
      <c r="L484" s="112">
        <v>81.317999999999998</v>
      </c>
      <c r="M484" s="112">
        <v>53.28</v>
      </c>
      <c r="N484" s="112">
        <v>17.988</v>
      </c>
      <c r="O484" s="122">
        <f t="shared" si="277"/>
        <v>315.24399999999997</v>
      </c>
      <c r="P484" s="112">
        <f t="shared" ref="P484" si="292">B484+I484</f>
        <v>34.234000000000002</v>
      </c>
      <c r="Q484" s="112">
        <f t="shared" ref="Q484" si="293">C484+J484</f>
        <v>120.911</v>
      </c>
      <c r="R484" s="112">
        <f t="shared" ref="R484" si="294">D484+K484</f>
        <v>309.13800000000003</v>
      </c>
      <c r="S484" s="112">
        <f t="shared" ref="S484" si="295">E484+L484</f>
        <v>294.19799999999998</v>
      </c>
      <c r="T484" s="112">
        <f t="shared" ref="T484" si="296">F484+M484</f>
        <v>136.875</v>
      </c>
      <c r="U484" s="112">
        <f t="shared" ref="U484" si="297">G484+N484</f>
        <v>17.988</v>
      </c>
      <c r="V484" s="112">
        <f t="shared" ref="V484" si="298">SUM(P484:U484)</f>
        <v>913.34400000000005</v>
      </c>
    </row>
    <row r="485" spans="1:22" x14ac:dyDescent="0.2">
      <c r="A485" s="47" t="s">
        <v>89</v>
      </c>
      <c r="B485" s="112">
        <v>21.831</v>
      </c>
      <c r="C485" s="112">
        <v>79.162000000000006</v>
      </c>
      <c r="D485" s="112">
        <v>210.92500000000001</v>
      </c>
      <c r="E485" s="112">
        <v>208.80500000000001</v>
      </c>
      <c r="F485" s="112">
        <v>83.048000000000002</v>
      </c>
      <c r="G485" s="112">
        <v>0</v>
      </c>
      <c r="H485" s="122">
        <f>SUM(B485:G485)</f>
        <v>603.77099999999996</v>
      </c>
      <c r="I485" s="112">
        <v>15.301</v>
      </c>
      <c r="J485" s="112">
        <v>55.412999999999997</v>
      </c>
      <c r="K485" s="112">
        <v>125.26</v>
      </c>
      <c r="L485" s="112">
        <v>87.614999999999995</v>
      </c>
      <c r="M485" s="112">
        <v>59.563000000000002</v>
      </c>
      <c r="N485" s="112">
        <v>2.7440000000000002</v>
      </c>
      <c r="O485" s="122">
        <f t="shared" si="277"/>
        <v>345.89600000000002</v>
      </c>
      <c r="P485" s="112">
        <f t="shared" ref="P485:P486" si="299">B485+I485</f>
        <v>37.131999999999998</v>
      </c>
      <c r="Q485" s="112">
        <f t="shared" ref="Q485:Q486" si="300">C485+J485</f>
        <v>134.57499999999999</v>
      </c>
      <c r="R485" s="112">
        <f t="shared" ref="R485:R486" si="301">D485+K485</f>
        <v>336.185</v>
      </c>
      <c r="S485" s="112">
        <f t="shared" ref="S485:S486" si="302">E485+L485</f>
        <v>296.42</v>
      </c>
      <c r="T485" s="112">
        <f t="shared" ref="T485:T486" si="303">F485+M485</f>
        <v>142.61099999999999</v>
      </c>
      <c r="U485" s="112">
        <f t="shared" ref="U485:U486" si="304">G485+N485</f>
        <v>2.7440000000000002</v>
      </c>
      <c r="V485" s="112">
        <f t="shared" ref="V485:V486" si="305">SUM(P485:U485)</f>
        <v>949.66700000000003</v>
      </c>
    </row>
    <row r="486" spans="1:22" x14ac:dyDescent="0.2">
      <c r="A486" s="47" t="s">
        <v>80</v>
      </c>
      <c r="B486" s="112">
        <f>SUM(B483:B485)</f>
        <v>61.363</v>
      </c>
      <c r="C486" s="112">
        <f t="shared" ref="C486:G486" si="306">SUM(C483:C485)</f>
        <v>224.63500000000002</v>
      </c>
      <c r="D486" s="112">
        <f t="shared" si="306"/>
        <v>633.78200000000004</v>
      </c>
      <c r="E486" s="112">
        <f t="shared" si="306"/>
        <v>635.71499999999992</v>
      </c>
      <c r="F486" s="112">
        <f t="shared" si="306"/>
        <v>248.357</v>
      </c>
      <c r="G486" s="112">
        <f t="shared" si="306"/>
        <v>0</v>
      </c>
      <c r="H486" s="122">
        <f t="shared" ref="H486:H489" si="307">SUM(B486:G486)</f>
        <v>1803.8519999999999</v>
      </c>
      <c r="I486" s="112">
        <f>SUM(I483:I485)</f>
        <v>41.489000000000004</v>
      </c>
      <c r="J486" s="112">
        <f t="shared" ref="J486:N486" si="308">SUM(J483:J485)</f>
        <v>147.06200000000001</v>
      </c>
      <c r="K486" s="112">
        <f t="shared" si="308"/>
        <v>333.03000000000003</v>
      </c>
      <c r="L486" s="112">
        <f t="shared" si="308"/>
        <v>250.64</v>
      </c>
      <c r="M486" s="112">
        <f t="shared" si="308"/>
        <v>166.03</v>
      </c>
      <c r="N486" s="112">
        <f t="shared" si="308"/>
        <v>22.818999999999999</v>
      </c>
      <c r="O486" s="122">
        <f t="shared" si="277"/>
        <v>961.06999999999994</v>
      </c>
      <c r="P486" s="112">
        <f t="shared" si="299"/>
        <v>102.852</v>
      </c>
      <c r="Q486" s="112">
        <f t="shared" si="300"/>
        <v>371.697</v>
      </c>
      <c r="R486" s="112">
        <f t="shared" si="301"/>
        <v>966.81200000000013</v>
      </c>
      <c r="S486" s="112">
        <f t="shared" si="302"/>
        <v>886.3549999999999</v>
      </c>
      <c r="T486" s="112">
        <f t="shared" si="303"/>
        <v>414.387</v>
      </c>
      <c r="U486" s="112">
        <f t="shared" si="304"/>
        <v>22.818999999999999</v>
      </c>
      <c r="V486" s="112">
        <f t="shared" si="305"/>
        <v>2764.922</v>
      </c>
    </row>
    <row r="487" spans="1:22" x14ac:dyDescent="0.2">
      <c r="A487" s="47" t="s">
        <v>90</v>
      </c>
      <c r="B487" s="112">
        <v>19.074999999999999</v>
      </c>
      <c r="C487" s="112">
        <v>68.248000000000005</v>
      </c>
      <c r="D487" s="112">
        <v>213.58199999999999</v>
      </c>
      <c r="E487" s="112">
        <v>206.90700000000001</v>
      </c>
      <c r="F487" s="112">
        <v>83.834000000000003</v>
      </c>
      <c r="G487" s="112">
        <v>0</v>
      </c>
      <c r="H487" s="122">
        <f t="shared" si="307"/>
        <v>591.64599999999996</v>
      </c>
      <c r="I487" s="112">
        <v>11.166</v>
      </c>
      <c r="J487" s="112">
        <v>41.042000000000002</v>
      </c>
      <c r="K487" s="112">
        <v>104.801</v>
      </c>
      <c r="L487" s="112">
        <v>83.29</v>
      </c>
      <c r="M487" s="112">
        <v>53.838000000000001</v>
      </c>
      <c r="N487" s="112">
        <v>1.9990000000000001</v>
      </c>
      <c r="O487" s="122">
        <f t="shared" si="277"/>
        <v>296.13600000000008</v>
      </c>
      <c r="P487" s="112">
        <f t="shared" ref="P487" si="309">B487+I487</f>
        <v>30.241</v>
      </c>
      <c r="Q487" s="112">
        <f t="shared" ref="Q487" si="310">C487+J487</f>
        <v>109.29</v>
      </c>
      <c r="R487" s="112">
        <f t="shared" ref="R487" si="311">D487+K487</f>
        <v>318.38299999999998</v>
      </c>
      <c r="S487" s="112">
        <f t="shared" ref="S487" si="312">E487+L487</f>
        <v>290.197</v>
      </c>
      <c r="T487" s="112">
        <f t="shared" ref="T487" si="313">F487+M487</f>
        <v>137.672</v>
      </c>
      <c r="U487" s="112">
        <f t="shared" ref="U487" si="314">G487+N487</f>
        <v>1.9990000000000001</v>
      </c>
      <c r="V487" s="112">
        <f t="shared" ref="V487" si="315">SUM(P487:U487)</f>
        <v>887.78200000000004</v>
      </c>
    </row>
    <row r="488" spans="1:22" x14ac:dyDescent="0.2">
      <c r="A488" s="47" t="s">
        <v>81</v>
      </c>
      <c r="B488" s="112">
        <v>22.669</v>
      </c>
      <c r="C488" s="112">
        <v>77.215000000000003</v>
      </c>
      <c r="D488" s="112">
        <v>218.53399999999999</v>
      </c>
      <c r="E488" s="112">
        <v>209.38499999999999</v>
      </c>
      <c r="F488" s="112">
        <v>93.695999999999998</v>
      </c>
      <c r="G488" s="112">
        <v>0</v>
      </c>
      <c r="H488" s="122">
        <f t="shared" si="307"/>
        <v>621.49900000000002</v>
      </c>
      <c r="I488" s="112">
        <v>13.164999999999999</v>
      </c>
      <c r="J488" s="112">
        <v>49.709000000000003</v>
      </c>
      <c r="K488" s="112">
        <v>117.602</v>
      </c>
      <c r="L488" s="112">
        <v>88.010999999999996</v>
      </c>
      <c r="M488" s="112">
        <v>65.456999999999994</v>
      </c>
      <c r="N488" s="112">
        <v>2.2440000000000002</v>
      </c>
      <c r="O488" s="122">
        <f t="shared" si="277"/>
        <v>336.18799999999999</v>
      </c>
      <c r="P488" s="112">
        <f t="shared" ref="P488" si="316">B488+I488</f>
        <v>35.834000000000003</v>
      </c>
      <c r="Q488" s="112">
        <f t="shared" ref="Q488" si="317">C488+J488</f>
        <v>126.92400000000001</v>
      </c>
      <c r="R488" s="112">
        <f t="shared" ref="R488" si="318">D488+K488</f>
        <v>336.13599999999997</v>
      </c>
      <c r="S488" s="112">
        <f t="shared" ref="S488" si="319">E488+L488</f>
        <v>297.39599999999996</v>
      </c>
      <c r="T488" s="112">
        <f t="shared" ref="T488" si="320">F488+M488</f>
        <v>159.15299999999999</v>
      </c>
      <c r="U488" s="112">
        <f t="shared" ref="U488" si="321">G488+N488</f>
        <v>2.2440000000000002</v>
      </c>
      <c r="V488" s="112">
        <f t="shared" ref="V488" si="322">SUM(P488:U488)</f>
        <v>957.68700000000001</v>
      </c>
    </row>
    <row r="489" spans="1:22" x14ac:dyDescent="0.2">
      <c r="A489" s="47" t="s">
        <v>82</v>
      </c>
      <c r="B489" s="112">
        <v>21.129000000000001</v>
      </c>
      <c r="C489" s="112">
        <v>72.722999999999999</v>
      </c>
      <c r="D489" s="112">
        <v>224.12299999999999</v>
      </c>
      <c r="E489" s="112">
        <v>152.1</v>
      </c>
      <c r="F489" s="112">
        <v>81.454999999999998</v>
      </c>
      <c r="G489" s="112">
        <v>32.112000000000002</v>
      </c>
      <c r="H489" s="122">
        <f t="shared" si="307"/>
        <v>583.64200000000005</v>
      </c>
      <c r="I489" s="112">
        <v>13.872</v>
      </c>
      <c r="J489" s="112">
        <v>42.552</v>
      </c>
      <c r="K489" s="112">
        <v>118.157</v>
      </c>
      <c r="L489" s="112">
        <v>79.052000000000007</v>
      </c>
      <c r="M489" s="112">
        <v>62.451000000000001</v>
      </c>
      <c r="N489" s="112">
        <v>13.597</v>
      </c>
      <c r="O489" s="122">
        <f t="shared" si="277"/>
        <v>329.68099999999998</v>
      </c>
      <c r="P489" s="112">
        <f t="shared" ref="P489:P490" si="323">B489+I489</f>
        <v>35.001000000000005</v>
      </c>
      <c r="Q489" s="112">
        <f t="shared" ref="Q489:Q490" si="324">C489+J489</f>
        <v>115.27500000000001</v>
      </c>
      <c r="R489" s="112">
        <f t="shared" ref="R489:R490" si="325">D489+K489</f>
        <v>342.28</v>
      </c>
      <c r="S489" s="112">
        <f t="shared" ref="S489:S490" si="326">E489+L489</f>
        <v>231.15199999999999</v>
      </c>
      <c r="T489" s="112">
        <f t="shared" ref="T489:T490" si="327">F489+M489</f>
        <v>143.90600000000001</v>
      </c>
      <c r="U489" s="112">
        <f t="shared" ref="U489:U490" si="328">G489+N489</f>
        <v>45.709000000000003</v>
      </c>
      <c r="V489" s="112">
        <f t="shared" ref="V489:V490" si="329">SUM(P489:U489)</f>
        <v>913.32300000000009</v>
      </c>
    </row>
    <row r="490" spans="1:22" x14ac:dyDescent="0.2">
      <c r="A490" s="47" t="s">
        <v>83</v>
      </c>
      <c r="B490" s="112">
        <f>SUM(B487:B489)</f>
        <v>62.873000000000005</v>
      </c>
      <c r="C490" s="112">
        <f t="shared" ref="C490:G490" si="330">SUM(C487:C489)</f>
        <v>218.18600000000004</v>
      </c>
      <c r="D490" s="112">
        <f t="shared" si="330"/>
        <v>656.23900000000003</v>
      </c>
      <c r="E490" s="112">
        <f t="shared" si="330"/>
        <v>568.39200000000005</v>
      </c>
      <c r="F490" s="112">
        <f t="shared" si="330"/>
        <v>258.98500000000001</v>
      </c>
      <c r="G490" s="112">
        <f t="shared" si="330"/>
        <v>32.112000000000002</v>
      </c>
      <c r="H490" s="122">
        <f t="shared" ref="H490:H492" si="331">SUM(B490:G490)</f>
        <v>1796.7870000000003</v>
      </c>
      <c r="I490" s="112">
        <f>SUM(I487:I489)</f>
        <v>38.203000000000003</v>
      </c>
      <c r="J490" s="112">
        <f t="shared" ref="J490:N490" si="332">SUM(J487:J489)</f>
        <v>133.303</v>
      </c>
      <c r="K490" s="112">
        <f t="shared" si="332"/>
        <v>340.56</v>
      </c>
      <c r="L490" s="112">
        <f t="shared" si="332"/>
        <v>250.35300000000001</v>
      </c>
      <c r="M490" s="112">
        <f t="shared" si="332"/>
        <v>181.74599999999998</v>
      </c>
      <c r="N490" s="112">
        <f t="shared" si="332"/>
        <v>17.84</v>
      </c>
      <c r="O490" s="122">
        <f t="shared" ref="O490:O492" si="333">SUM(I490:N490)</f>
        <v>962.00500000000011</v>
      </c>
      <c r="P490" s="112">
        <f t="shared" si="323"/>
        <v>101.07600000000001</v>
      </c>
      <c r="Q490" s="112">
        <f t="shared" si="324"/>
        <v>351.48900000000003</v>
      </c>
      <c r="R490" s="112">
        <f t="shared" si="325"/>
        <v>996.79899999999998</v>
      </c>
      <c r="S490" s="112">
        <f t="shared" si="326"/>
        <v>818.74500000000012</v>
      </c>
      <c r="T490" s="112">
        <f t="shared" si="327"/>
        <v>440.73099999999999</v>
      </c>
      <c r="U490" s="112">
        <f t="shared" si="328"/>
        <v>49.951999999999998</v>
      </c>
      <c r="V490" s="112">
        <f t="shared" si="329"/>
        <v>2758.7920000000004</v>
      </c>
    </row>
    <row r="491" spans="1:22" x14ac:dyDescent="0.2">
      <c r="A491" s="47" t="s">
        <v>85</v>
      </c>
      <c r="B491" s="112">
        <v>19.503</v>
      </c>
      <c r="C491" s="112">
        <v>78.8</v>
      </c>
      <c r="D491" s="112">
        <v>229.59700000000001</v>
      </c>
      <c r="E491" s="112">
        <v>208.214</v>
      </c>
      <c r="F491" s="112">
        <v>90.856999999999999</v>
      </c>
      <c r="G491" s="112">
        <v>4.9000000000000002E-2</v>
      </c>
      <c r="H491" s="122">
        <f t="shared" si="331"/>
        <v>627.02</v>
      </c>
      <c r="I491" s="112">
        <v>13.188000000000001</v>
      </c>
      <c r="J491" s="112">
        <v>47.332000000000001</v>
      </c>
      <c r="K491" s="112">
        <v>117.09399999999999</v>
      </c>
      <c r="L491" s="112">
        <v>94.153000000000006</v>
      </c>
      <c r="M491" s="112">
        <v>60.473999999999997</v>
      </c>
      <c r="N491" s="112">
        <v>2.0179999999999998</v>
      </c>
      <c r="O491" s="122">
        <f t="shared" si="333"/>
        <v>334.25899999999996</v>
      </c>
      <c r="P491" s="112">
        <f t="shared" ref="P491:U492" si="334">B491+I491</f>
        <v>32.691000000000003</v>
      </c>
      <c r="Q491" s="112">
        <f t="shared" si="334"/>
        <v>126.13200000000001</v>
      </c>
      <c r="R491" s="112">
        <f t="shared" si="334"/>
        <v>346.69100000000003</v>
      </c>
      <c r="S491" s="112">
        <f t="shared" si="334"/>
        <v>302.36700000000002</v>
      </c>
      <c r="T491" s="112">
        <f t="shared" si="334"/>
        <v>151.33099999999999</v>
      </c>
      <c r="U491" s="112">
        <f t="shared" si="334"/>
        <v>2.0669999999999997</v>
      </c>
      <c r="V491" s="112">
        <f t="shared" ref="V491" si="335">SUM(P491:U491)</f>
        <v>961.27900000000011</v>
      </c>
    </row>
    <row r="492" spans="1:22" x14ac:dyDescent="0.2">
      <c r="A492" s="126" t="s">
        <v>86</v>
      </c>
      <c r="B492" s="127">
        <v>18.477</v>
      </c>
      <c r="C492" s="127">
        <v>75.989999999999995</v>
      </c>
      <c r="D492" s="127">
        <v>203.14599999999999</v>
      </c>
      <c r="E492" s="127">
        <v>193.91499999999999</v>
      </c>
      <c r="F492" s="127">
        <v>82.106999999999999</v>
      </c>
      <c r="G492" s="127">
        <v>0</v>
      </c>
      <c r="H492" s="191">
        <f t="shared" si="331"/>
        <v>573.63499999999999</v>
      </c>
      <c r="I492" s="127">
        <v>13.426</v>
      </c>
      <c r="J492" s="127">
        <v>47.585999999999999</v>
      </c>
      <c r="K492" s="127">
        <v>109.70699999999999</v>
      </c>
      <c r="L492" s="127">
        <v>96.106999999999999</v>
      </c>
      <c r="M492" s="127">
        <v>55.948999999999998</v>
      </c>
      <c r="N492" s="127">
        <v>2.2709999999999999</v>
      </c>
      <c r="O492" s="191">
        <f t="shared" si="333"/>
        <v>325.04600000000005</v>
      </c>
      <c r="P492" s="127">
        <f t="shared" si="334"/>
        <v>31.902999999999999</v>
      </c>
      <c r="Q492" s="127">
        <f t="shared" si="334"/>
        <v>123.57599999999999</v>
      </c>
      <c r="R492" s="127">
        <f t="shared" si="334"/>
        <v>312.85299999999995</v>
      </c>
      <c r="S492" s="127">
        <f t="shared" si="334"/>
        <v>290.02199999999999</v>
      </c>
      <c r="T492" s="127">
        <f t="shared" si="334"/>
        <v>138.05599999999998</v>
      </c>
      <c r="U492" s="127">
        <f t="shared" si="334"/>
        <v>2.2709999999999999</v>
      </c>
      <c r="V492" s="127">
        <f t="shared" ref="V492" si="336">SUM(P492:U492)</f>
        <v>898.68099999999981</v>
      </c>
    </row>
    <row r="493" spans="1:22" x14ac:dyDescent="0.2">
      <c r="A493" s="33" t="s">
        <v>373</v>
      </c>
      <c r="B493" s="112"/>
      <c r="C493" s="112"/>
      <c r="D493" s="112"/>
      <c r="E493" s="112"/>
      <c r="F493" s="112"/>
      <c r="G493" s="112"/>
      <c r="H493" s="112"/>
      <c r="I493" s="112"/>
      <c r="J493" s="112"/>
      <c r="K493" s="112"/>
      <c r="L493" s="112"/>
      <c r="M493" s="112"/>
      <c r="N493" s="112"/>
      <c r="O493" s="112"/>
      <c r="P493" s="112"/>
      <c r="Q493" s="112"/>
      <c r="R493" s="112"/>
      <c r="S493" s="112"/>
      <c r="T493" s="112"/>
      <c r="U493" s="112"/>
      <c r="V493" s="112"/>
    </row>
    <row r="494" spans="1:22" x14ac:dyDescent="0.2">
      <c r="A494" s="33" t="s">
        <v>355</v>
      </c>
    </row>
    <row r="495" spans="1:22" x14ac:dyDescent="0.2">
      <c r="A495" s="33" t="s">
        <v>391</v>
      </c>
      <c r="T495" s="97" t="s">
        <v>88</v>
      </c>
    </row>
    <row r="496" spans="1:22" x14ac:dyDescent="0.2">
      <c r="A496" s="12" t="s">
        <v>393</v>
      </c>
      <c r="P496" s="112"/>
      <c r="Q496" s="112"/>
      <c r="R496" s="112"/>
      <c r="S496" s="112"/>
      <c r="T496" s="112"/>
      <c r="U496" s="112"/>
      <c r="V496" s="112"/>
    </row>
    <row r="497" spans="1:22" x14ac:dyDescent="0.2">
      <c r="A497" s="86" t="s">
        <v>408</v>
      </c>
    </row>
    <row r="498" spans="1:22" x14ac:dyDescent="0.2">
      <c r="A498" s="100" t="s">
        <v>332</v>
      </c>
    </row>
    <row r="499" spans="1:22" x14ac:dyDescent="0.2">
      <c r="B499" s="112"/>
      <c r="C499" s="112"/>
      <c r="D499" s="112"/>
      <c r="E499" s="112"/>
      <c r="F499" s="112"/>
      <c r="G499" s="112"/>
      <c r="H499" s="112"/>
      <c r="I499" s="112"/>
      <c r="J499" s="112"/>
      <c r="K499" s="112"/>
      <c r="L499" s="112"/>
      <c r="M499" s="112"/>
      <c r="N499" s="112"/>
      <c r="O499" s="112"/>
      <c r="P499" s="112"/>
      <c r="Q499" s="112"/>
      <c r="R499" s="112"/>
      <c r="S499" s="112"/>
      <c r="T499" s="112"/>
      <c r="U499" s="112"/>
      <c r="V499" s="112"/>
    </row>
    <row r="500" spans="1:22" x14ac:dyDescent="0.2">
      <c r="B500" s="112"/>
      <c r="C500" s="112"/>
      <c r="D500" s="112"/>
      <c r="E500" s="112"/>
      <c r="F500" s="112"/>
      <c r="G500" s="112"/>
      <c r="H500" s="112"/>
      <c r="I500" s="112"/>
      <c r="J500" s="112"/>
      <c r="K500" s="112"/>
      <c r="L500" s="112"/>
      <c r="M500" s="112"/>
      <c r="N500" s="112"/>
      <c r="O500" s="112"/>
      <c r="P500" s="112"/>
      <c r="Q500" s="112"/>
      <c r="R500" s="112"/>
      <c r="S500" s="112"/>
      <c r="T500" s="112"/>
      <c r="U500" s="112"/>
      <c r="V500" s="112"/>
    </row>
    <row r="501" spans="1:22" x14ac:dyDescent="0.2">
      <c r="B501" s="112"/>
      <c r="C501" s="112"/>
      <c r="D501" s="112"/>
      <c r="E501" s="112"/>
      <c r="F501" s="112"/>
      <c r="G501" s="112"/>
      <c r="H501" s="112"/>
      <c r="I501" s="112"/>
      <c r="J501" s="112"/>
      <c r="K501" s="112"/>
      <c r="L501" s="112"/>
      <c r="M501" s="112"/>
      <c r="N501" s="112"/>
      <c r="O501" s="112"/>
      <c r="P501" s="112"/>
      <c r="Q501" s="112"/>
      <c r="R501" s="112"/>
      <c r="S501" s="112"/>
      <c r="T501" s="112"/>
      <c r="U501" s="112"/>
      <c r="V501" s="112"/>
    </row>
  </sheetData>
  <pageMargins left="0.75" right="0.75" top="1" bottom="1" header="0.5" footer="0.5"/>
  <pageSetup orientation="portrait" r:id="rId1"/>
  <headerFooter alignWithMargins="0"/>
  <ignoredErrors>
    <ignoredError sqref="B436:Q436 R436:V436" formulaRange="1"/>
    <ignoredError sqref="H440:O440 H446:H454" formula="1"/>
  </ignoredError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4BE73BB-9C85-4B3B-8500-D6C6320F1464}">
  <dimension ref="A1:W160"/>
  <sheetViews>
    <sheetView zoomScaleNormal="100" workbookViewId="0">
      <pane xSplit="1" ySplit="6" topLeftCell="B7" activePane="bottomRight" state="frozen"/>
      <selection pane="topRight" activeCell="B1" sqref="B1"/>
      <selection pane="bottomLeft" activeCell="A7" sqref="A7"/>
      <selection pane="bottomRight"/>
    </sheetView>
  </sheetViews>
  <sheetFormatPr defaultRowHeight="11.25" x14ac:dyDescent="0.2"/>
  <cols>
    <col min="1" max="1" width="14.5703125" style="21" customWidth="1"/>
    <col min="2" max="3" width="10.28515625" style="49" customWidth="1"/>
    <col min="4" max="4" width="8.42578125" style="49" customWidth="1"/>
    <col min="5" max="5" width="11.42578125" style="49" customWidth="1"/>
    <col min="6" max="6" width="9.42578125" style="49" customWidth="1"/>
    <col min="7" max="7" width="11.42578125" style="49" customWidth="1"/>
    <col min="8" max="8" width="11.28515625" style="49" customWidth="1"/>
    <col min="9" max="9" width="9.28515625" style="49" customWidth="1"/>
    <col min="10" max="10" width="8" style="21" customWidth="1"/>
    <col min="11" max="11" width="9.140625" style="21"/>
    <col min="12" max="12" width="16.7109375" style="21" bestFit="1" customWidth="1"/>
    <col min="13" max="256" width="9.140625" style="21"/>
    <col min="257" max="257" width="14.5703125" style="21" customWidth="1"/>
    <col min="258" max="259" width="10.28515625" style="21" customWidth="1"/>
    <col min="260" max="260" width="8.42578125" style="21" customWidth="1"/>
    <col min="261" max="261" width="11.42578125" style="21" customWidth="1"/>
    <col min="262" max="262" width="9.42578125" style="21" customWidth="1"/>
    <col min="263" max="263" width="11.42578125" style="21" customWidth="1"/>
    <col min="264" max="264" width="11.28515625" style="21" customWidth="1"/>
    <col min="265" max="265" width="9.28515625" style="21" customWidth="1"/>
    <col min="266" max="266" width="8" style="21" customWidth="1"/>
    <col min="267" max="267" width="9.140625" style="21"/>
    <col min="268" max="268" width="16.7109375" style="21" bestFit="1" customWidth="1"/>
    <col min="269" max="512" width="9.140625" style="21"/>
    <col min="513" max="513" width="14.5703125" style="21" customWidth="1"/>
    <col min="514" max="515" width="10.28515625" style="21" customWidth="1"/>
    <col min="516" max="516" width="8.42578125" style="21" customWidth="1"/>
    <col min="517" max="517" width="11.42578125" style="21" customWidth="1"/>
    <col min="518" max="518" width="9.42578125" style="21" customWidth="1"/>
    <col min="519" max="519" width="11.42578125" style="21" customWidth="1"/>
    <col min="520" max="520" width="11.28515625" style="21" customWidth="1"/>
    <col min="521" max="521" width="9.28515625" style="21" customWidth="1"/>
    <col min="522" max="522" width="8" style="21" customWidth="1"/>
    <col min="523" max="523" width="9.140625" style="21"/>
    <col min="524" max="524" width="16.7109375" style="21" bestFit="1" customWidth="1"/>
    <col min="525" max="768" width="9.140625" style="21"/>
    <col min="769" max="769" width="14.5703125" style="21" customWidth="1"/>
    <col min="770" max="771" width="10.28515625" style="21" customWidth="1"/>
    <col min="772" max="772" width="8.42578125" style="21" customWidth="1"/>
    <col min="773" max="773" width="11.42578125" style="21" customWidth="1"/>
    <col min="774" max="774" width="9.42578125" style="21" customWidth="1"/>
    <col min="775" max="775" width="11.42578125" style="21" customWidth="1"/>
    <col min="776" max="776" width="11.28515625" style="21" customWidth="1"/>
    <col min="777" max="777" width="9.28515625" style="21" customWidth="1"/>
    <col min="778" max="778" width="8" style="21" customWidth="1"/>
    <col min="779" max="779" width="9.140625" style="21"/>
    <col min="780" max="780" width="16.7109375" style="21" bestFit="1" customWidth="1"/>
    <col min="781" max="1024" width="9.140625" style="21"/>
    <col min="1025" max="1025" width="14.5703125" style="21" customWidth="1"/>
    <col min="1026" max="1027" width="10.28515625" style="21" customWidth="1"/>
    <col min="1028" max="1028" width="8.42578125" style="21" customWidth="1"/>
    <col min="1029" max="1029" width="11.42578125" style="21" customWidth="1"/>
    <col min="1030" max="1030" width="9.42578125" style="21" customWidth="1"/>
    <col min="1031" max="1031" width="11.42578125" style="21" customWidth="1"/>
    <col min="1032" max="1032" width="11.28515625" style="21" customWidth="1"/>
    <col min="1033" max="1033" width="9.28515625" style="21" customWidth="1"/>
    <col min="1034" max="1034" width="8" style="21" customWidth="1"/>
    <col min="1035" max="1035" width="9.140625" style="21"/>
    <col min="1036" max="1036" width="16.7109375" style="21" bestFit="1" customWidth="1"/>
    <col min="1037" max="1280" width="9.140625" style="21"/>
    <col min="1281" max="1281" width="14.5703125" style="21" customWidth="1"/>
    <col min="1282" max="1283" width="10.28515625" style="21" customWidth="1"/>
    <col min="1284" max="1284" width="8.42578125" style="21" customWidth="1"/>
    <col min="1285" max="1285" width="11.42578125" style="21" customWidth="1"/>
    <col min="1286" max="1286" width="9.42578125" style="21" customWidth="1"/>
    <col min="1287" max="1287" width="11.42578125" style="21" customWidth="1"/>
    <col min="1288" max="1288" width="11.28515625" style="21" customWidth="1"/>
    <col min="1289" max="1289" width="9.28515625" style="21" customWidth="1"/>
    <col min="1290" max="1290" width="8" style="21" customWidth="1"/>
    <col min="1291" max="1291" width="9.140625" style="21"/>
    <col min="1292" max="1292" width="16.7109375" style="21" bestFit="1" customWidth="1"/>
    <col min="1293" max="1536" width="9.140625" style="21"/>
    <col min="1537" max="1537" width="14.5703125" style="21" customWidth="1"/>
    <col min="1538" max="1539" width="10.28515625" style="21" customWidth="1"/>
    <col min="1540" max="1540" width="8.42578125" style="21" customWidth="1"/>
    <col min="1541" max="1541" width="11.42578125" style="21" customWidth="1"/>
    <col min="1542" max="1542" width="9.42578125" style="21" customWidth="1"/>
    <col min="1543" max="1543" width="11.42578125" style="21" customWidth="1"/>
    <col min="1544" max="1544" width="11.28515625" style="21" customWidth="1"/>
    <col min="1545" max="1545" width="9.28515625" style="21" customWidth="1"/>
    <col min="1546" max="1546" width="8" style="21" customWidth="1"/>
    <col min="1547" max="1547" width="9.140625" style="21"/>
    <col min="1548" max="1548" width="16.7109375" style="21" bestFit="1" customWidth="1"/>
    <col min="1549" max="1792" width="9.140625" style="21"/>
    <col min="1793" max="1793" width="14.5703125" style="21" customWidth="1"/>
    <col min="1794" max="1795" width="10.28515625" style="21" customWidth="1"/>
    <col min="1796" max="1796" width="8.42578125" style="21" customWidth="1"/>
    <col min="1797" max="1797" width="11.42578125" style="21" customWidth="1"/>
    <col min="1798" max="1798" width="9.42578125" style="21" customWidth="1"/>
    <col min="1799" max="1799" width="11.42578125" style="21" customWidth="1"/>
    <col min="1800" max="1800" width="11.28515625" style="21" customWidth="1"/>
    <col min="1801" max="1801" width="9.28515625" style="21" customWidth="1"/>
    <col min="1802" max="1802" width="8" style="21" customWidth="1"/>
    <col min="1803" max="1803" width="9.140625" style="21"/>
    <col min="1804" max="1804" width="16.7109375" style="21" bestFit="1" customWidth="1"/>
    <col min="1805" max="2048" width="9.140625" style="21"/>
    <col min="2049" max="2049" width="14.5703125" style="21" customWidth="1"/>
    <col min="2050" max="2051" width="10.28515625" style="21" customWidth="1"/>
    <col min="2052" max="2052" width="8.42578125" style="21" customWidth="1"/>
    <col min="2053" max="2053" width="11.42578125" style="21" customWidth="1"/>
    <col min="2054" max="2054" width="9.42578125" style="21" customWidth="1"/>
    <col min="2055" max="2055" width="11.42578125" style="21" customWidth="1"/>
    <col min="2056" max="2056" width="11.28515625" style="21" customWidth="1"/>
    <col min="2057" max="2057" width="9.28515625" style="21" customWidth="1"/>
    <col min="2058" max="2058" width="8" style="21" customWidth="1"/>
    <col min="2059" max="2059" width="9.140625" style="21"/>
    <col min="2060" max="2060" width="16.7109375" style="21" bestFit="1" customWidth="1"/>
    <col min="2061" max="2304" width="9.140625" style="21"/>
    <col min="2305" max="2305" width="14.5703125" style="21" customWidth="1"/>
    <col min="2306" max="2307" width="10.28515625" style="21" customWidth="1"/>
    <col min="2308" max="2308" width="8.42578125" style="21" customWidth="1"/>
    <col min="2309" max="2309" width="11.42578125" style="21" customWidth="1"/>
    <col min="2310" max="2310" width="9.42578125" style="21" customWidth="1"/>
    <col min="2311" max="2311" width="11.42578125" style="21" customWidth="1"/>
    <col min="2312" max="2312" width="11.28515625" style="21" customWidth="1"/>
    <col min="2313" max="2313" width="9.28515625" style="21" customWidth="1"/>
    <col min="2314" max="2314" width="8" style="21" customWidth="1"/>
    <col min="2315" max="2315" width="9.140625" style="21"/>
    <col min="2316" max="2316" width="16.7109375" style="21" bestFit="1" customWidth="1"/>
    <col min="2317" max="2560" width="9.140625" style="21"/>
    <col min="2561" max="2561" width="14.5703125" style="21" customWidth="1"/>
    <col min="2562" max="2563" width="10.28515625" style="21" customWidth="1"/>
    <col min="2564" max="2564" width="8.42578125" style="21" customWidth="1"/>
    <col min="2565" max="2565" width="11.42578125" style="21" customWidth="1"/>
    <col min="2566" max="2566" width="9.42578125" style="21" customWidth="1"/>
    <col min="2567" max="2567" width="11.42578125" style="21" customWidth="1"/>
    <col min="2568" max="2568" width="11.28515625" style="21" customWidth="1"/>
    <col min="2569" max="2569" width="9.28515625" style="21" customWidth="1"/>
    <col min="2570" max="2570" width="8" style="21" customWidth="1"/>
    <col min="2571" max="2571" width="9.140625" style="21"/>
    <col min="2572" max="2572" width="16.7109375" style="21" bestFit="1" customWidth="1"/>
    <col min="2573" max="2816" width="9.140625" style="21"/>
    <col min="2817" max="2817" width="14.5703125" style="21" customWidth="1"/>
    <col min="2818" max="2819" width="10.28515625" style="21" customWidth="1"/>
    <col min="2820" max="2820" width="8.42578125" style="21" customWidth="1"/>
    <col min="2821" max="2821" width="11.42578125" style="21" customWidth="1"/>
    <col min="2822" max="2822" width="9.42578125" style="21" customWidth="1"/>
    <col min="2823" max="2823" width="11.42578125" style="21" customWidth="1"/>
    <col min="2824" max="2824" width="11.28515625" style="21" customWidth="1"/>
    <col min="2825" max="2825" width="9.28515625" style="21" customWidth="1"/>
    <col min="2826" max="2826" width="8" style="21" customWidth="1"/>
    <col min="2827" max="2827" width="9.140625" style="21"/>
    <col min="2828" max="2828" width="16.7109375" style="21" bestFit="1" customWidth="1"/>
    <col min="2829" max="3072" width="9.140625" style="21"/>
    <col min="3073" max="3073" width="14.5703125" style="21" customWidth="1"/>
    <col min="3074" max="3075" width="10.28515625" style="21" customWidth="1"/>
    <col min="3076" max="3076" width="8.42578125" style="21" customWidth="1"/>
    <col min="3077" max="3077" width="11.42578125" style="21" customWidth="1"/>
    <col min="3078" max="3078" width="9.42578125" style="21" customWidth="1"/>
    <col min="3079" max="3079" width="11.42578125" style="21" customWidth="1"/>
    <col min="3080" max="3080" width="11.28515625" style="21" customWidth="1"/>
    <col min="3081" max="3081" width="9.28515625" style="21" customWidth="1"/>
    <col min="3082" max="3082" width="8" style="21" customWidth="1"/>
    <col min="3083" max="3083" width="9.140625" style="21"/>
    <col min="3084" max="3084" width="16.7109375" style="21" bestFit="1" customWidth="1"/>
    <col min="3085" max="3328" width="9.140625" style="21"/>
    <col min="3329" max="3329" width="14.5703125" style="21" customWidth="1"/>
    <col min="3330" max="3331" width="10.28515625" style="21" customWidth="1"/>
    <col min="3332" max="3332" width="8.42578125" style="21" customWidth="1"/>
    <col min="3333" max="3333" width="11.42578125" style="21" customWidth="1"/>
    <col min="3334" max="3334" width="9.42578125" style="21" customWidth="1"/>
    <col min="3335" max="3335" width="11.42578125" style="21" customWidth="1"/>
    <col min="3336" max="3336" width="11.28515625" style="21" customWidth="1"/>
    <col min="3337" max="3337" width="9.28515625" style="21" customWidth="1"/>
    <col min="3338" max="3338" width="8" style="21" customWidth="1"/>
    <col min="3339" max="3339" width="9.140625" style="21"/>
    <col min="3340" max="3340" width="16.7109375" style="21" bestFit="1" customWidth="1"/>
    <col min="3341" max="3584" width="9.140625" style="21"/>
    <col min="3585" max="3585" width="14.5703125" style="21" customWidth="1"/>
    <col min="3586" max="3587" width="10.28515625" style="21" customWidth="1"/>
    <col min="3588" max="3588" width="8.42578125" style="21" customWidth="1"/>
    <col min="3589" max="3589" width="11.42578125" style="21" customWidth="1"/>
    <col min="3590" max="3590" width="9.42578125" style="21" customWidth="1"/>
    <col min="3591" max="3591" width="11.42578125" style="21" customWidth="1"/>
    <col min="3592" max="3592" width="11.28515625" style="21" customWidth="1"/>
    <col min="3593" max="3593" width="9.28515625" style="21" customWidth="1"/>
    <col min="3594" max="3594" width="8" style="21" customWidth="1"/>
    <col min="3595" max="3595" width="9.140625" style="21"/>
    <col min="3596" max="3596" width="16.7109375" style="21" bestFit="1" customWidth="1"/>
    <col min="3597" max="3840" width="9.140625" style="21"/>
    <col min="3841" max="3841" width="14.5703125" style="21" customWidth="1"/>
    <col min="3842" max="3843" width="10.28515625" style="21" customWidth="1"/>
    <col min="3844" max="3844" width="8.42578125" style="21" customWidth="1"/>
    <col min="3845" max="3845" width="11.42578125" style="21" customWidth="1"/>
    <col min="3846" max="3846" width="9.42578125" style="21" customWidth="1"/>
    <col min="3847" max="3847" width="11.42578125" style="21" customWidth="1"/>
    <col min="3848" max="3848" width="11.28515625" style="21" customWidth="1"/>
    <col min="3849" max="3849" width="9.28515625" style="21" customWidth="1"/>
    <col min="3850" max="3850" width="8" style="21" customWidth="1"/>
    <col min="3851" max="3851" width="9.140625" style="21"/>
    <col min="3852" max="3852" width="16.7109375" style="21" bestFit="1" customWidth="1"/>
    <col min="3853" max="4096" width="9.140625" style="21"/>
    <col min="4097" max="4097" width="14.5703125" style="21" customWidth="1"/>
    <col min="4098" max="4099" width="10.28515625" style="21" customWidth="1"/>
    <col min="4100" max="4100" width="8.42578125" style="21" customWidth="1"/>
    <col min="4101" max="4101" width="11.42578125" style="21" customWidth="1"/>
    <col min="4102" max="4102" width="9.42578125" style="21" customWidth="1"/>
    <col min="4103" max="4103" width="11.42578125" style="21" customWidth="1"/>
    <col min="4104" max="4104" width="11.28515625" style="21" customWidth="1"/>
    <col min="4105" max="4105" width="9.28515625" style="21" customWidth="1"/>
    <col min="4106" max="4106" width="8" style="21" customWidth="1"/>
    <col min="4107" max="4107" width="9.140625" style="21"/>
    <col min="4108" max="4108" width="16.7109375" style="21" bestFit="1" customWidth="1"/>
    <col min="4109" max="4352" width="9.140625" style="21"/>
    <col min="4353" max="4353" width="14.5703125" style="21" customWidth="1"/>
    <col min="4354" max="4355" width="10.28515625" style="21" customWidth="1"/>
    <col min="4356" max="4356" width="8.42578125" style="21" customWidth="1"/>
    <col min="4357" max="4357" width="11.42578125" style="21" customWidth="1"/>
    <col min="4358" max="4358" width="9.42578125" style="21" customWidth="1"/>
    <col min="4359" max="4359" width="11.42578125" style="21" customWidth="1"/>
    <col min="4360" max="4360" width="11.28515625" style="21" customWidth="1"/>
    <col min="4361" max="4361" width="9.28515625" style="21" customWidth="1"/>
    <col min="4362" max="4362" width="8" style="21" customWidth="1"/>
    <col min="4363" max="4363" width="9.140625" style="21"/>
    <col min="4364" max="4364" width="16.7109375" style="21" bestFit="1" customWidth="1"/>
    <col min="4365" max="4608" width="9.140625" style="21"/>
    <col min="4609" max="4609" width="14.5703125" style="21" customWidth="1"/>
    <col min="4610" max="4611" width="10.28515625" style="21" customWidth="1"/>
    <col min="4612" max="4612" width="8.42578125" style="21" customWidth="1"/>
    <col min="4613" max="4613" width="11.42578125" style="21" customWidth="1"/>
    <col min="4614" max="4614" width="9.42578125" style="21" customWidth="1"/>
    <col min="4615" max="4615" width="11.42578125" style="21" customWidth="1"/>
    <col min="4616" max="4616" width="11.28515625" style="21" customWidth="1"/>
    <col min="4617" max="4617" width="9.28515625" style="21" customWidth="1"/>
    <col min="4618" max="4618" width="8" style="21" customWidth="1"/>
    <col min="4619" max="4619" width="9.140625" style="21"/>
    <col min="4620" max="4620" width="16.7109375" style="21" bestFit="1" customWidth="1"/>
    <col min="4621" max="4864" width="9.140625" style="21"/>
    <col min="4865" max="4865" width="14.5703125" style="21" customWidth="1"/>
    <col min="4866" max="4867" width="10.28515625" style="21" customWidth="1"/>
    <col min="4868" max="4868" width="8.42578125" style="21" customWidth="1"/>
    <col min="4869" max="4869" width="11.42578125" style="21" customWidth="1"/>
    <col min="4870" max="4870" width="9.42578125" style="21" customWidth="1"/>
    <col min="4871" max="4871" width="11.42578125" style="21" customWidth="1"/>
    <col min="4872" max="4872" width="11.28515625" style="21" customWidth="1"/>
    <col min="4873" max="4873" width="9.28515625" style="21" customWidth="1"/>
    <col min="4874" max="4874" width="8" style="21" customWidth="1"/>
    <col min="4875" max="4875" width="9.140625" style="21"/>
    <col min="4876" max="4876" width="16.7109375" style="21" bestFit="1" customWidth="1"/>
    <col min="4877" max="5120" width="9.140625" style="21"/>
    <col min="5121" max="5121" width="14.5703125" style="21" customWidth="1"/>
    <col min="5122" max="5123" width="10.28515625" style="21" customWidth="1"/>
    <col min="5124" max="5124" width="8.42578125" style="21" customWidth="1"/>
    <col min="5125" max="5125" width="11.42578125" style="21" customWidth="1"/>
    <col min="5126" max="5126" width="9.42578125" style="21" customWidth="1"/>
    <col min="5127" max="5127" width="11.42578125" style="21" customWidth="1"/>
    <col min="5128" max="5128" width="11.28515625" style="21" customWidth="1"/>
    <col min="5129" max="5129" width="9.28515625" style="21" customWidth="1"/>
    <col min="5130" max="5130" width="8" style="21" customWidth="1"/>
    <col min="5131" max="5131" width="9.140625" style="21"/>
    <col min="5132" max="5132" width="16.7109375" style="21" bestFit="1" customWidth="1"/>
    <col min="5133" max="5376" width="9.140625" style="21"/>
    <col min="5377" max="5377" width="14.5703125" style="21" customWidth="1"/>
    <col min="5378" max="5379" width="10.28515625" style="21" customWidth="1"/>
    <col min="5380" max="5380" width="8.42578125" style="21" customWidth="1"/>
    <col min="5381" max="5381" width="11.42578125" style="21" customWidth="1"/>
    <col min="5382" max="5382" width="9.42578125" style="21" customWidth="1"/>
    <col min="5383" max="5383" width="11.42578125" style="21" customWidth="1"/>
    <col min="5384" max="5384" width="11.28515625" style="21" customWidth="1"/>
    <col min="5385" max="5385" width="9.28515625" style="21" customWidth="1"/>
    <col min="5386" max="5386" width="8" style="21" customWidth="1"/>
    <col min="5387" max="5387" width="9.140625" style="21"/>
    <col min="5388" max="5388" width="16.7109375" style="21" bestFit="1" customWidth="1"/>
    <col min="5389" max="5632" width="9.140625" style="21"/>
    <col min="5633" max="5633" width="14.5703125" style="21" customWidth="1"/>
    <col min="5634" max="5635" width="10.28515625" style="21" customWidth="1"/>
    <col min="5636" max="5636" width="8.42578125" style="21" customWidth="1"/>
    <col min="5637" max="5637" width="11.42578125" style="21" customWidth="1"/>
    <col min="5638" max="5638" width="9.42578125" style="21" customWidth="1"/>
    <col min="5639" max="5639" width="11.42578125" style="21" customWidth="1"/>
    <col min="5640" max="5640" width="11.28515625" style="21" customWidth="1"/>
    <col min="5641" max="5641" width="9.28515625" style="21" customWidth="1"/>
    <col min="5642" max="5642" width="8" style="21" customWidth="1"/>
    <col min="5643" max="5643" width="9.140625" style="21"/>
    <col min="5644" max="5644" width="16.7109375" style="21" bestFit="1" customWidth="1"/>
    <col min="5645" max="5888" width="9.140625" style="21"/>
    <col min="5889" max="5889" width="14.5703125" style="21" customWidth="1"/>
    <col min="5890" max="5891" width="10.28515625" style="21" customWidth="1"/>
    <col min="5892" max="5892" width="8.42578125" style="21" customWidth="1"/>
    <col min="5893" max="5893" width="11.42578125" style="21" customWidth="1"/>
    <col min="5894" max="5894" width="9.42578125" style="21" customWidth="1"/>
    <col min="5895" max="5895" width="11.42578125" style="21" customWidth="1"/>
    <col min="5896" max="5896" width="11.28515625" style="21" customWidth="1"/>
    <col min="5897" max="5897" width="9.28515625" style="21" customWidth="1"/>
    <col min="5898" max="5898" width="8" style="21" customWidth="1"/>
    <col min="5899" max="5899" width="9.140625" style="21"/>
    <col min="5900" max="5900" width="16.7109375" style="21" bestFit="1" customWidth="1"/>
    <col min="5901" max="6144" width="9.140625" style="21"/>
    <col min="6145" max="6145" width="14.5703125" style="21" customWidth="1"/>
    <col min="6146" max="6147" width="10.28515625" style="21" customWidth="1"/>
    <col min="6148" max="6148" width="8.42578125" style="21" customWidth="1"/>
    <col min="6149" max="6149" width="11.42578125" style="21" customWidth="1"/>
    <col min="6150" max="6150" width="9.42578125" style="21" customWidth="1"/>
    <col min="6151" max="6151" width="11.42578125" style="21" customWidth="1"/>
    <col min="6152" max="6152" width="11.28515625" style="21" customWidth="1"/>
    <col min="6153" max="6153" width="9.28515625" style="21" customWidth="1"/>
    <col min="6154" max="6154" width="8" style="21" customWidth="1"/>
    <col min="6155" max="6155" width="9.140625" style="21"/>
    <col min="6156" max="6156" width="16.7109375" style="21" bestFit="1" customWidth="1"/>
    <col min="6157" max="6400" width="9.140625" style="21"/>
    <col min="6401" max="6401" width="14.5703125" style="21" customWidth="1"/>
    <col min="6402" max="6403" width="10.28515625" style="21" customWidth="1"/>
    <col min="6404" max="6404" width="8.42578125" style="21" customWidth="1"/>
    <col min="6405" max="6405" width="11.42578125" style="21" customWidth="1"/>
    <col min="6406" max="6406" width="9.42578125" style="21" customWidth="1"/>
    <col min="6407" max="6407" width="11.42578125" style="21" customWidth="1"/>
    <col min="6408" max="6408" width="11.28515625" style="21" customWidth="1"/>
    <col min="6409" max="6409" width="9.28515625" style="21" customWidth="1"/>
    <col min="6410" max="6410" width="8" style="21" customWidth="1"/>
    <col min="6411" max="6411" width="9.140625" style="21"/>
    <col min="6412" max="6412" width="16.7109375" style="21" bestFit="1" customWidth="1"/>
    <col min="6413" max="6656" width="9.140625" style="21"/>
    <col min="6657" max="6657" width="14.5703125" style="21" customWidth="1"/>
    <col min="6658" max="6659" width="10.28515625" style="21" customWidth="1"/>
    <col min="6660" max="6660" width="8.42578125" style="21" customWidth="1"/>
    <col min="6661" max="6661" width="11.42578125" style="21" customWidth="1"/>
    <col min="6662" max="6662" width="9.42578125" style="21" customWidth="1"/>
    <col min="6663" max="6663" width="11.42578125" style="21" customWidth="1"/>
    <col min="6664" max="6664" width="11.28515625" style="21" customWidth="1"/>
    <col min="6665" max="6665" width="9.28515625" style="21" customWidth="1"/>
    <col min="6666" max="6666" width="8" style="21" customWidth="1"/>
    <col min="6667" max="6667" width="9.140625" style="21"/>
    <col min="6668" max="6668" width="16.7109375" style="21" bestFit="1" customWidth="1"/>
    <col min="6669" max="6912" width="9.140625" style="21"/>
    <col min="6913" max="6913" width="14.5703125" style="21" customWidth="1"/>
    <col min="6914" max="6915" width="10.28515625" style="21" customWidth="1"/>
    <col min="6916" max="6916" width="8.42578125" style="21" customWidth="1"/>
    <col min="6917" max="6917" width="11.42578125" style="21" customWidth="1"/>
    <col min="6918" max="6918" width="9.42578125" style="21" customWidth="1"/>
    <col min="6919" max="6919" width="11.42578125" style="21" customWidth="1"/>
    <col min="6920" max="6920" width="11.28515625" style="21" customWidth="1"/>
    <col min="6921" max="6921" width="9.28515625" style="21" customWidth="1"/>
    <col min="6922" max="6922" width="8" style="21" customWidth="1"/>
    <col min="6923" max="6923" width="9.140625" style="21"/>
    <col min="6924" max="6924" width="16.7109375" style="21" bestFit="1" customWidth="1"/>
    <col min="6925" max="7168" width="9.140625" style="21"/>
    <col min="7169" max="7169" width="14.5703125" style="21" customWidth="1"/>
    <col min="7170" max="7171" width="10.28515625" style="21" customWidth="1"/>
    <col min="7172" max="7172" width="8.42578125" style="21" customWidth="1"/>
    <col min="7173" max="7173" width="11.42578125" style="21" customWidth="1"/>
    <col min="7174" max="7174" width="9.42578125" style="21" customWidth="1"/>
    <col min="7175" max="7175" width="11.42578125" style="21" customWidth="1"/>
    <col min="7176" max="7176" width="11.28515625" style="21" customWidth="1"/>
    <col min="7177" max="7177" width="9.28515625" style="21" customWidth="1"/>
    <col min="7178" max="7178" width="8" style="21" customWidth="1"/>
    <col min="7179" max="7179" width="9.140625" style="21"/>
    <col min="7180" max="7180" width="16.7109375" style="21" bestFit="1" customWidth="1"/>
    <col min="7181" max="7424" width="9.140625" style="21"/>
    <col min="7425" max="7425" width="14.5703125" style="21" customWidth="1"/>
    <col min="7426" max="7427" width="10.28515625" style="21" customWidth="1"/>
    <col min="7428" max="7428" width="8.42578125" style="21" customWidth="1"/>
    <col min="7429" max="7429" width="11.42578125" style="21" customWidth="1"/>
    <col min="7430" max="7430" width="9.42578125" style="21" customWidth="1"/>
    <col min="7431" max="7431" width="11.42578125" style="21" customWidth="1"/>
    <col min="7432" max="7432" width="11.28515625" style="21" customWidth="1"/>
    <col min="7433" max="7433" width="9.28515625" style="21" customWidth="1"/>
    <col min="7434" max="7434" width="8" style="21" customWidth="1"/>
    <col min="7435" max="7435" width="9.140625" style="21"/>
    <col min="7436" max="7436" width="16.7109375" style="21" bestFit="1" customWidth="1"/>
    <col min="7437" max="7680" width="9.140625" style="21"/>
    <col min="7681" max="7681" width="14.5703125" style="21" customWidth="1"/>
    <col min="7682" max="7683" width="10.28515625" style="21" customWidth="1"/>
    <col min="7684" max="7684" width="8.42578125" style="21" customWidth="1"/>
    <col min="7685" max="7685" width="11.42578125" style="21" customWidth="1"/>
    <col min="7686" max="7686" width="9.42578125" style="21" customWidth="1"/>
    <col min="7687" max="7687" width="11.42578125" style="21" customWidth="1"/>
    <col min="7688" max="7688" width="11.28515625" style="21" customWidth="1"/>
    <col min="7689" max="7689" width="9.28515625" style="21" customWidth="1"/>
    <col min="7690" max="7690" width="8" style="21" customWidth="1"/>
    <col min="7691" max="7691" width="9.140625" style="21"/>
    <col min="7692" max="7692" width="16.7109375" style="21" bestFit="1" customWidth="1"/>
    <col min="7693" max="7936" width="9.140625" style="21"/>
    <col min="7937" max="7937" width="14.5703125" style="21" customWidth="1"/>
    <col min="7938" max="7939" width="10.28515625" style="21" customWidth="1"/>
    <col min="7940" max="7940" width="8.42578125" style="21" customWidth="1"/>
    <col min="7941" max="7941" width="11.42578125" style="21" customWidth="1"/>
    <col min="7942" max="7942" width="9.42578125" style="21" customWidth="1"/>
    <col min="7943" max="7943" width="11.42578125" style="21" customWidth="1"/>
    <col min="7944" max="7944" width="11.28515625" style="21" customWidth="1"/>
    <col min="7945" max="7945" width="9.28515625" style="21" customWidth="1"/>
    <col min="7946" max="7946" width="8" style="21" customWidth="1"/>
    <col min="7947" max="7947" width="9.140625" style="21"/>
    <col min="7948" max="7948" width="16.7109375" style="21" bestFit="1" customWidth="1"/>
    <col min="7949" max="8192" width="9.140625" style="21"/>
    <col min="8193" max="8193" width="14.5703125" style="21" customWidth="1"/>
    <col min="8194" max="8195" width="10.28515625" style="21" customWidth="1"/>
    <col min="8196" max="8196" width="8.42578125" style="21" customWidth="1"/>
    <col min="8197" max="8197" width="11.42578125" style="21" customWidth="1"/>
    <col min="8198" max="8198" width="9.42578125" style="21" customWidth="1"/>
    <col min="8199" max="8199" width="11.42578125" style="21" customWidth="1"/>
    <col min="8200" max="8200" width="11.28515625" style="21" customWidth="1"/>
    <col min="8201" max="8201" width="9.28515625" style="21" customWidth="1"/>
    <col min="8202" max="8202" width="8" style="21" customWidth="1"/>
    <col min="8203" max="8203" width="9.140625" style="21"/>
    <col min="8204" max="8204" width="16.7109375" style="21" bestFit="1" customWidth="1"/>
    <col min="8205" max="8448" width="9.140625" style="21"/>
    <col min="8449" max="8449" width="14.5703125" style="21" customWidth="1"/>
    <col min="8450" max="8451" width="10.28515625" style="21" customWidth="1"/>
    <col min="8452" max="8452" width="8.42578125" style="21" customWidth="1"/>
    <col min="8453" max="8453" width="11.42578125" style="21" customWidth="1"/>
    <col min="8454" max="8454" width="9.42578125" style="21" customWidth="1"/>
    <col min="8455" max="8455" width="11.42578125" style="21" customWidth="1"/>
    <col min="8456" max="8456" width="11.28515625" style="21" customWidth="1"/>
    <col min="8457" max="8457" width="9.28515625" style="21" customWidth="1"/>
    <col min="8458" max="8458" width="8" style="21" customWidth="1"/>
    <col min="8459" max="8459" width="9.140625" style="21"/>
    <col min="8460" max="8460" width="16.7109375" style="21" bestFit="1" customWidth="1"/>
    <col min="8461" max="8704" width="9.140625" style="21"/>
    <col min="8705" max="8705" width="14.5703125" style="21" customWidth="1"/>
    <col min="8706" max="8707" width="10.28515625" style="21" customWidth="1"/>
    <col min="8708" max="8708" width="8.42578125" style="21" customWidth="1"/>
    <col min="8709" max="8709" width="11.42578125" style="21" customWidth="1"/>
    <col min="8710" max="8710" width="9.42578125" style="21" customWidth="1"/>
    <col min="8711" max="8711" width="11.42578125" style="21" customWidth="1"/>
    <col min="8712" max="8712" width="11.28515625" style="21" customWidth="1"/>
    <col min="8713" max="8713" width="9.28515625" style="21" customWidth="1"/>
    <col min="8714" max="8714" width="8" style="21" customWidth="1"/>
    <col min="8715" max="8715" width="9.140625" style="21"/>
    <col min="8716" max="8716" width="16.7109375" style="21" bestFit="1" customWidth="1"/>
    <col min="8717" max="8960" width="9.140625" style="21"/>
    <col min="8961" max="8961" width="14.5703125" style="21" customWidth="1"/>
    <col min="8962" max="8963" width="10.28515625" style="21" customWidth="1"/>
    <col min="8964" max="8964" width="8.42578125" style="21" customWidth="1"/>
    <col min="8965" max="8965" width="11.42578125" style="21" customWidth="1"/>
    <col min="8966" max="8966" width="9.42578125" style="21" customWidth="1"/>
    <col min="8967" max="8967" width="11.42578125" style="21" customWidth="1"/>
    <col min="8968" max="8968" width="11.28515625" style="21" customWidth="1"/>
    <col min="8969" max="8969" width="9.28515625" style="21" customWidth="1"/>
    <col min="8970" max="8970" width="8" style="21" customWidth="1"/>
    <col min="8971" max="8971" width="9.140625" style="21"/>
    <col min="8972" max="8972" width="16.7109375" style="21" bestFit="1" customWidth="1"/>
    <col min="8973" max="9216" width="9.140625" style="21"/>
    <col min="9217" max="9217" width="14.5703125" style="21" customWidth="1"/>
    <col min="9218" max="9219" width="10.28515625" style="21" customWidth="1"/>
    <col min="9220" max="9220" width="8.42578125" style="21" customWidth="1"/>
    <col min="9221" max="9221" width="11.42578125" style="21" customWidth="1"/>
    <col min="9222" max="9222" width="9.42578125" style="21" customWidth="1"/>
    <col min="9223" max="9223" width="11.42578125" style="21" customWidth="1"/>
    <col min="9224" max="9224" width="11.28515625" style="21" customWidth="1"/>
    <col min="9225" max="9225" width="9.28515625" style="21" customWidth="1"/>
    <col min="9226" max="9226" width="8" style="21" customWidth="1"/>
    <col min="9227" max="9227" width="9.140625" style="21"/>
    <col min="9228" max="9228" width="16.7109375" style="21" bestFit="1" customWidth="1"/>
    <col min="9229" max="9472" width="9.140625" style="21"/>
    <col min="9473" max="9473" width="14.5703125" style="21" customWidth="1"/>
    <col min="9474" max="9475" width="10.28515625" style="21" customWidth="1"/>
    <col min="9476" max="9476" width="8.42578125" style="21" customWidth="1"/>
    <col min="9477" max="9477" width="11.42578125" style="21" customWidth="1"/>
    <col min="9478" max="9478" width="9.42578125" style="21" customWidth="1"/>
    <col min="9479" max="9479" width="11.42578125" style="21" customWidth="1"/>
    <col min="9480" max="9480" width="11.28515625" style="21" customWidth="1"/>
    <col min="9481" max="9481" width="9.28515625" style="21" customWidth="1"/>
    <col min="9482" max="9482" width="8" style="21" customWidth="1"/>
    <col min="9483" max="9483" width="9.140625" style="21"/>
    <col min="9484" max="9484" width="16.7109375" style="21" bestFit="1" customWidth="1"/>
    <col min="9485" max="9728" width="9.140625" style="21"/>
    <col min="9729" max="9729" width="14.5703125" style="21" customWidth="1"/>
    <col min="9730" max="9731" width="10.28515625" style="21" customWidth="1"/>
    <col min="9732" max="9732" width="8.42578125" style="21" customWidth="1"/>
    <col min="9733" max="9733" width="11.42578125" style="21" customWidth="1"/>
    <col min="9734" max="9734" width="9.42578125" style="21" customWidth="1"/>
    <col min="9735" max="9735" width="11.42578125" style="21" customWidth="1"/>
    <col min="9736" max="9736" width="11.28515625" style="21" customWidth="1"/>
    <col min="9737" max="9737" width="9.28515625" style="21" customWidth="1"/>
    <col min="9738" max="9738" width="8" style="21" customWidth="1"/>
    <col min="9739" max="9739" width="9.140625" style="21"/>
    <col min="9740" max="9740" width="16.7109375" style="21" bestFit="1" customWidth="1"/>
    <col min="9741" max="9984" width="9.140625" style="21"/>
    <col min="9985" max="9985" width="14.5703125" style="21" customWidth="1"/>
    <col min="9986" max="9987" width="10.28515625" style="21" customWidth="1"/>
    <col min="9988" max="9988" width="8.42578125" style="21" customWidth="1"/>
    <col min="9989" max="9989" width="11.42578125" style="21" customWidth="1"/>
    <col min="9990" max="9990" width="9.42578125" style="21" customWidth="1"/>
    <col min="9991" max="9991" width="11.42578125" style="21" customWidth="1"/>
    <col min="9992" max="9992" width="11.28515625" style="21" customWidth="1"/>
    <col min="9993" max="9993" width="9.28515625" style="21" customWidth="1"/>
    <col min="9994" max="9994" width="8" style="21" customWidth="1"/>
    <col min="9995" max="9995" width="9.140625" style="21"/>
    <col min="9996" max="9996" width="16.7109375" style="21" bestFit="1" customWidth="1"/>
    <col min="9997" max="10240" width="9.140625" style="21"/>
    <col min="10241" max="10241" width="14.5703125" style="21" customWidth="1"/>
    <col min="10242" max="10243" width="10.28515625" style="21" customWidth="1"/>
    <col min="10244" max="10244" width="8.42578125" style="21" customWidth="1"/>
    <col min="10245" max="10245" width="11.42578125" style="21" customWidth="1"/>
    <col min="10246" max="10246" width="9.42578125" style="21" customWidth="1"/>
    <col min="10247" max="10247" width="11.42578125" style="21" customWidth="1"/>
    <col min="10248" max="10248" width="11.28515625" style="21" customWidth="1"/>
    <col min="10249" max="10249" width="9.28515625" style="21" customWidth="1"/>
    <col min="10250" max="10250" width="8" style="21" customWidth="1"/>
    <col min="10251" max="10251" width="9.140625" style="21"/>
    <col min="10252" max="10252" width="16.7109375" style="21" bestFit="1" customWidth="1"/>
    <col min="10253" max="10496" width="9.140625" style="21"/>
    <col min="10497" max="10497" width="14.5703125" style="21" customWidth="1"/>
    <col min="10498" max="10499" width="10.28515625" style="21" customWidth="1"/>
    <col min="10500" max="10500" width="8.42578125" style="21" customWidth="1"/>
    <col min="10501" max="10501" width="11.42578125" style="21" customWidth="1"/>
    <col min="10502" max="10502" width="9.42578125" style="21" customWidth="1"/>
    <col min="10503" max="10503" width="11.42578125" style="21" customWidth="1"/>
    <col min="10504" max="10504" width="11.28515625" style="21" customWidth="1"/>
    <col min="10505" max="10505" width="9.28515625" style="21" customWidth="1"/>
    <col min="10506" max="10506" width="8" style="21" customWidth="1"/>
    <col min="10507" max="10507" width="9.140625" style="21"/>
    <col min="10508" max="10508" width="16.7109375" style="21" bestFit="1" customWidth="1"/>
    <col min="10509" max="10752" width="9.140625" style="21"/>
    <col min="10753" max="10753" width="14.5703125" style="21" customWidth="1"/>
    <col min="10754" max="10755" width="10.28515625" style="21" customWidth="1"/>
    <col min="10756" max="10756" width="8.42578125" style="21" customWidth="1"/>
    <col min="10757" max="10757" width="11.42578125" style="21" customWidth="1"/>
    <col min="10758" max="10758" width="9.42578125" style="21" customWidth="1"/>
    <col min="10759" max="10759" width="11.42578125" style="21" customWidth="1"/>
    <col min="10760" max="10760" width="11.28515625" style="21" customWidth="1"/>
    <col min="10761" max="10761" width="9.28515625" style="21" customWidth="1"/>
    <col min="10762" max="10762" width="8" style="21" customWidth="1"/>
    <col min="10763" max="10763" width="9.140625" style="21"/>
    <col min="10764" max="10764" width="16.7109375" style="21" bestFit="1" customWidth="1"/>
    <col min="10765" max="11008" width="9.140625" style="21"/>
    <col min="11009" max="11009" width="14.5703125" style="21" customWidth="1"/>
    <col min="11010" max="11011" width="10.28515625" style="21" customWidth="1"/>
    <col min="11012" max="11012" width="8.42578125" style="21" customWidth="1"/>
    <col min="11013" max="11013" width="11.42578125" style="21" customWidth="1"/>
    <col min="11014" max="11014" width="9.42578125" style="21" customWidth="1"/>
    <col min="11015" max="11015" width="11.42578125" style="21" customWidth="1"/>
    <col min="11016" max="11016" width="11.28515625" style="21" customWidth="1"/>
    <col min="11017" max="11017" width="9.28515625" style="21" customWidth="1"/>
    <col min="11018" max="11018" width="8" style="21" customWidth="1"/>
    <col min="11019" max="11019" width="9.140625" style="21"/>
    <col min="11020" max="11020" width="16.7109375" style="21" bestFit="1" customWidth="1"/>
    <col min="11021" max="11264" width="9.140625" style="21"/>
    <col min="11265" max="11265" width="14.5703125" style="21" customWidth="1"/>
    <col min="11266" max="11267" width="10.28515625" style="21" customWidth="1"/>
    <col min="11268" max="11268" width="8.42578125" style="21" customWidth="1"/>
    <col min="11269" max="11269" width="11.42578125" style="21" customWidth="1"/>
    <col min="11270" max="11270" width="9.42578125" style="21" customWidth="1"/>
    <col min="11271" max="11271" width="11.42578125" style="21" customWidth="1"/>
    <col min="11272" max="11272" width="11.28515625" style="21" customWidth="1"/>
    <col min="11273" max="11273" width="9.28515625" style="21" customWidth="1"/>
    <col min="11274" max="11274" width="8" style="21" customWidth="1"/>
    <col min="11275" max="11275" width="9.140625" style="21"/>
    <col min="11276" max="11276" width="16.7109375" style="21" bestFit="1" customWidth="1"/>
    <col min="11277" max="11520" width="9.140625" style="21"/>
    <col min="11521" max="11521" width="14.5703125" style="21" customWidth="1"/>
    <col min="11522" max="11523" width="10.28515625" style="21" customWidth="1"/>
    <col min="11524" max="11524" width="8.42578125" style="21" customWidth="1"/>
    <col min="11525" max="11525" width="11.42578125" style="21" customWidth="1"/>
    <col min="11526" max="11526" width="9.42578125" style="21" customWidth="1"/>
    <col min="11527" max="11527" width="11.42578125" style="21" customWidth="1"/>
    <col min="11528" max="11528" width="11.28515625" style="21" customWidth="1"/>
    <col min="11529" max="11529" width="9.28515625" style="21" customWidth="1"/>
    <col min="11530" max="11530" width="8" style="21" customWidth="1"/>
    <col min="11531" max="11531" width="9.140625" style="21"/>
    <col min="11532" max="11532" width="16.7109375" style="21" bestFit="1" customWidth="1"/>
    <col min="11533" max="11776" width="9.140625" style="21"/>
    <col min="11777" max="11777" width="14.5703125" style="21" customWidth="1"/>
    <col min="11778" max="11779" width="10.28515625" style="21" customWidth="1"/>
    <col min="11780" max="11780" width="8.42578125" style="21" customWidth="1"/>
    <col min="11781" max="11781" width="11.42578125" style="21" customWidth="1"/>
    <col min="11782" max="11782" width="9.42578125" style="21" customWidth="1"/>
    <col min="11783" max="11783" width="11.42578125" style="21" customWidth="1"/>
    <col min="11784" max="11784" width="11.28515625" style="21" customWidth="1"/>
    <col min="11785" max="11785" width="9.28515625" style="21" customWidth="1"/>
    <col min="11786" max="11786" width="8" style="21" customWidth="1"/>
    <col min="11787" max="11787" width="9.140625" style="21"/>
    <col min="11788" max="11788" width="16.7109375" style="21" bestFit="1" customWidth="1"/>
    <col min="11789" max="12032" width="9.140625" style="21"/>
    <col min="12033" max="12033" width="14.5703125" style="21" customWidth="1"/>
    <col min="12034" max="12035" width="10.28515625" style="21" customWidth="1"/>
    <col min="12036" max="12036" width="8.42578125" style="21" customWidth="1"/>
    <col min="12037" max="12037" width="11.42578125" style="21" customWidth="1"/>
    <col min="12038" max="12038" width="9.42578125" style="21" customWidth="1"/>
    <col min="12039" max="12039" width="11.42578125" style="21" customWidth="1"/>
    <col min="12040" max="12040" width="11.28515625" style="21" customWidth="1"/>
    <col min="12041" max="12041" width="9.28515625" style="21" customWidth="1"/>
    <col min="12042" max="12042" width="8" style="21" customWidth="1"/>
    <col min="12043" max="12043" width="9.140625" style="21"/>
    <col min="12044" max="12044" width="16.7109375" style="21" bestFit="1" customWidth="1"/>
    <col min="12045" max="12288" width="9.140625" style="21"/>
    <col min="12289" max="12289" width="14.5703125" style="21" customWidth="1"/>
    <col min="12290" max="12291" width="10.28515625" style="21" customWidth="1"/>
    <col min="12292" max="12292" width="8.42578125" style="21" customWidth="1"/>
    <col min="12293" max="12293" width="11.42578125" style="21" customWidth="1"/>
    <col min="12294" max="12294" width="9.42578125" style="21" customWidth="1"/>
    <col min="12295" max="12295" width="11.42578125" style="21" customWidth="1"/>
    <col min="12296" max="12296" width="11.28515625" style="21" customWidth="1"/>
    <col min="12297" max="12297" width="9.28515625" style="21" customWidth="1"/>
    <col min="12298" max="12298" width="8" style="21" customWidth="1"/>
    <col min="12299" max="12299" width="9.140625" style="21"/>
    <col min="12300" max="12300" width="16.7109375" style="21" bestFit="1" customWidth="1"/>
    <col min="12301" max="12544" width="9.140625" style="21"/>
    <col min="12545" max="12545" width="14.5703125" style="21" customWidth="1"/>
    <col min="12546" max="12547" width="10.28515625" style="21" customWidth="1"/>
    <col min="12548" max="12548" width="8.42578125" style="21" customWidth="1"/>
    <col min="12549" max="12549" width="11.42578125" style="21" customWidth="1"/>
    <col min="12550" max="12550" width="9.42578125" style="21" customWidth="1"/>
    <col min="12551" max="12551" width="11.42578125" style="21" customWidth="1"/>
    <col min="12552" max="12552" width="11.28515625" style="21" customWidth="1"/>
    <col min="12553" max="12553" width="9.28515625" style="21" customWidth="1"/>
    <col min="12554" max="12554" width="8" style="21" customWidth="1"/>
    <col min="12555" max="12555" width="9.140625" style="21"/>
    <col min="12556" max="12556" width="16.7109375" style="21" bestFit="1" customWidth="1"/>
    <col min="12557" max="12800" width="9.140625" style="21"/>
    <col min="12801" max="12801" width="14.5703125" style="21" customWidth="1"/>
    <col min="12802" max="12803" width="10.28515625" style="21" customWidth="1"/>
    <col min="12804" max="12804" width="8.42578125" style="21" customWidth="1"/>
    <col min="12805" max="12805" width="11.42578125" style="21" customWidth="1"/>
    <col min="12806" max="12806" width="9.42578125" style="21" customWidth="1"/>
    <col min="12807" max="12807" width="11.42578125" style="21" customWidth="1"/>
    <col min="12808" max="12808" width="11.28515625" style="21" customWidth="1"/>
    <col min="12809" max="12809" width="9.28515625" style="21" customWidth="1"/>
    <col min="12810" max="12810" width="8" style="21" customWidth="1"/>
    <col min="12811" max="12811" width="9.140625" style="21"/>
    <col min="12812" max="12812" width="16.7109375" style="21" bestFit="1" customWidth="1"/>
    <col min="12813" max="13056" width="9.140625" style="21"/>
    <col min="13057" max="13057" width="14.5703125" style="21" customWidth="1"/>
    <col min="13058" max="13059" width="10.28515625" style="21" customWidth="1"/>
    <col min="13060" max="13060" width="8.42578125" style="21" customWidth="1"/>
    <col min="13061" max="13061" width="11.42578125" style="21" customWidth="1"/>
    <col min="13062" max="13062" width="9.42578125" style="21" customWidth="1"/>
    <col min="13063" max="13063" width="11.42578125" style="21" customWidth="1"/>
    <col min="13064" max="13064" width="11.28515625" style="21" customWidth="1"/>
    <col min="13065" max="13065" width="9.28515625" style="21" customWidth="1"/>
    <col min="13066" max="13066" width="8" style="21" customWidth="1"/>
    <col min="13067" max="13067" width="9.140625" style="21"/>
    <col min="13068" max="13068" width="16.7109375" style="21" bestFit="1" customWidth="1"/>
    <col min="13069" max="13312" width="9.140625" style="21"/>
    <col min="13313" max="13313" width="14.5703125" style="21" customWidth="1"/>
    <col min="13314" max="13315" width="10.28515625" style="21" customWidth="1"/>
    <col min="13316" max="13316" width="8.42578125" style="21" customWidth="1"/>
    <col min="13317" max="13317" width="11.42578125" style="21" customWidth="1"/>
    <col min="13318" max="13318" width="9.42578125" style="21" customWidth="1"/>
    <col min="13319" max="13319" width="11.42578125" style="21" customWidth="1"/>
    <col min="13320" max="13320" width="11.28515625" style="21" customWidth="1"/>
    <col min="13321" max="13321" width="9.28515625" style="21" customWidth="1"/>
    <col min="13322" max="13322" width="8" style="21" customWidth="1"/>
    <col min="13323" max="13323" width="9.140625" style="21"/>
    <col min="13324" max="13324" width="16.7109375" style="21" bestFit="1" customWidth="1"/>
    <col min="13325" max="13568" width="9.140625" style="21"/>
    <col min="13569" max="13569" width="14.5703125" style="21" customWidth="1"/>
    <col min="13570" max="13571" width="10.28515625" style="21" customWidth="1"/>
    <col min="13572" max="13572" width="8.42578125" style="21" customWidth="1"/>
    <col min="13573" max="13573" width="11.42578125" style="21" customWidth="1"/>
    <col min="13574" max="13574" width="9.42578125" style="21" customWidth="1"/>
    <col min="13575" max="13575" width="11.42578125" style="21" customWidth="1"/>
    <col min="13576" max="13576" width="11.28515625" style="21" customWidth="1"/>
    <col min="13577" max="13577" width="9.28515625" style="21" customWidth="1"/>
    <col min="13578" max="13578" width="8" style="21" customWidth="1"/>
    <col min="13579" max="13579" width="9.140625" style="21"/>
    <col min="13580" max="13580" width="16.7109375" style="21" bestFit="1" customWidth="1"/>
    <col min="13581" max="13824" width="9.140625" style="21"/>
    <col min="13825" max="13825" width="14.5703125" style="21" customWidth="1"/>
    <col min="13826" max="13827" width="10.28515625" style="21" customWidth="1"/>
    <col min="13828" max="13828" width="8.42578125" style="21" customWidth="1"/>
    <col min="13829" max="13829" width="11.42578125" style="21" customWidth="1"/>
    <col min="13830" max="13830" width="9.42578125" style="21" customWidth="1"/>
    <col min="13831" max="13831" width="11.42578125" style="21" customWidth="1"/>
    <col min="13832" max="13832" width="11.28515625" style="21" customWidth="1"/>
    <col min="13833" max="13833" width="9.28515625" style="21" customWidth="1"/>
    <col min="13834" max="13834" width="8" style="21" customWidth="1"/>
    <col min="13835" max="13835" width="9.140625" style="21"/>
    <col min="13836" max="13836" width="16.7109375" style="21" bestFit="1" customWidth="1"/>
    <col min="13837" max="14080" width="9.140625" style="21"/>
    <col min="14081" max="14081" width="14.5703125" style="21" customWidth="1"/>
    <col min="14082" max="14083" width="10.28515625" style="21" customWidth="1"/>
    <col min="14084" max="14084" width="8.42578125" style="21" customWidth="1"/>
    <col min="14085" max="14085" width="11.42578125" style="21" customWidth="1"/>
    <col min="14086" max="14086" width="9.42578125" style="21" customWidth="1"/>
    <col min="14087" max="14087" width="11.42578125" style="21" customWidth="1"/>
    <col min="14088" max="14088" width="11.28515625" style="21" customWidth="1"/>
    <col min="14089" max="14089" width="9.28515625" style="21" customWidth="1"/>
    <col min="14090" max="14090" width="8" style="21" customWidth="1"/>
    <col min="14091" max="14091" width="9.140625" style="21"/>
    <col min="14092" max="14092" width="16.7109375" style="21" bestFit="1" customWidth="1"/>
    <col min="14093" max="14336" width="9.140625" style="21"/>
    <col min="14337" max="14337" width="14.5703125" style="21" customWidth="1"/>
    <col min="14338" max="14339" width="10.28515625" style="21" customWidth="1"/>
    <col min="14340" max="14340" width="8.42578125" style="21" customWidth="1"/>
    <col min="14341" max="14341" width="11.42578125" style="21" customWidth="1"/>
    <col min="14342" max="14342" width="9.42578125" style="21" customWidth="1"/>
    <col min="14343" max="14343" width="11.42578125" style="21" customWidth="1"/>
    <col min="14344" max="14344" width="11.28515625" style="21" customWidth="1"/>
    <col min="14345" max="14345" width="9.28515625" style="21" customWidth="1"/>
    <col min="14346" max="14346" width="8" style="21" customWidth="1"/>
    <col min="14347" max="14347" width="9.140625" style="21"/>
    <col min="14348" max="14348" width="16.7109375" style="21" bestFit="1" customWidth="1"/>
    <col min="14349" max="14592" width="9.140625" style="21"/>
    <col min="14593" max="14593" width="14.5703125" style="21" customWidth="1"/>
    <col min="14594" max="14595" width="10.28515625" style="21" customWidth="1"/>
    <col min="14596" max="14596" width="8.42578125" style="21" customWidth="1"/>
    <col min="14597" max="14597" width="11.42578125" style="21" customWidth="1"/>
    <col min="14598" max="14598" width="9.42578125" style="21" customWidth="1"/>
    <col min="14599" max="14599" width="11.42578125" style="21" customWidth="1"/>
    <col min="14600" max="14600" width="11.28515625" style="21" customWidth="1"/>
    <col min="14601" max="14601" width="9.28515625" style="21" customWidth="1"/>
    <col min="14602" max="14602" width="8" style="21" customWidth="1"/>
    <col min="14603" max="14603" width="9.140625" style="21"/>
    <col min="14604" max="14604" width="16.7109375" style="21" bestFit="1" customWidth="1"/>
    <col min="14605" max="14848" width="9.140625" style="21"/>
    <col min="14849" max="14849" width="14.5703125" style="21" customWidth="1"/>
    <col min="14850" max="14851" width="10.28515625" style="21" customWidth="1"/>
    <col min="14852" max="14852" width="8.42578125" style="21" customWidth="1"/>
    <col min="14853" max="14853" width="11.42578125" style="21" customWidth="1"/>
    <col min="14854" max="14854" width="9.42578125" style="21" customWidth="1"/>
    <col min="14855" max="14855" width="11.42578125" style="21" customWidth="1"/>
    <col min="14856" max="14856" width="11.28515625" style="21" customWidth="1"/>
    <col min="14857" max="14857" width="9.28515625" style="21" customWidth="1"/>
    <col min="14858" max="14858" width="8" style="21" customWidth="1"/>
    <col min="14859" max="14859" width="9.140625" style="21"/>
    <col min="14860" max="14860" width="16.7109375" style="21" bestFit="1" customWidth="1"/>
    <col min="14861" max="15104" width="9.140625" style="21"/>
    <col min="15105" max="15105" width="14.5703125" style="21" customWidth="1"/>
    <col min="15106" max="15107" width="10.28515625" style="21" customWidth="1"/>
    <col min="15108" max="15108" width="8.42578125" style="21" customWidth="1"/>
    <col min="15109" max="15109" width="11.42578125" style="21" customWidth="1"/>
    <col min="15110" max="15110" width="9.42578125" style="21" customWidth="1"/>
    <col min="15111" max="15111" width="11.42578125" style="21" customWidth="1"/>
    <col min="15112" max="15112" width="11.28515625" style="21" customWidth="1"/>
    <col min="15113" max="15113" width="9.28515625" style="21" customWidth="1"/>
    <col min="15114" max="15114" width="8" style="21" customWidth="1"/>
    <col min="15115" max="15115" width="9.140625" style="21"/>
    <col min="15116" max="15116" width="16.7109375" style="21" bestFit="1" customWidth="1"/>
    <col min="15117" max="15360" width="9.140625" style="21"/>
    <col min="15361" max="15361" width="14.5703125" style="21" customWidth="1"/>
    <col min="15362" max="15363" width="10.28515625" style="21" customWidth="1"/>
    <col min="15364" max="15364" width="8.42578125" style="21" customWidth="1"/>
    <col min="15365" max="15365" width="11.42578125" style="21" customWidth="1"/>
    <col min="15366" max="15366" width="9.42578125" style="21" customWidth="1"/>
    <col min="15367" max="15367" width="11.42578125" style="21" customWidth="1"/>
    <col min="15368" max="15368" width="11.28515625" style="21" customWidth="1"/>
    <col min="15369" max="15369" width="9.28515625" style="21" customWidth="1"/>
    <col min="15370" max="15370" width="8" style="21" customWidth="1"/>
    <col min="15371" max="15371" width="9.140625" style="21"/>
    <col min="15372" max="15372" width="16.7109375" style="21" bestFit="1" customWidth="1"/>
    <col min="15373" max="15616" width="9.140625" style="21"/>
    <col min="15617" max="15617" width="14.5703125" style="21" customWidth="1"/>
    <col min="15618" max="15619" width="10.28515625" style="21" customWidth="1"/>
    <col min="15620" max="15620" width="8.42578125" style="21" customWidth="1"/>
    <col min="15621" max="15621" width="11.42578125" style="21" customWidth="1"/>
    <col min="15622" max="15622" width="9.42578125" style="21" customWidth="1"/>
    <col min="15623" max="15623" width="11.42578125" style="21" customWidth="1"/>
    <col min="15624" max="15624" width="11.28515625" style="21" customWidth="1"/>
    <col min="15625" max="15625" width="9.28515625" style="21" customWidth="1"/>
    <col min="15626" max="15626" width="8" style="21" customWidth="1"/>
    <col min="15627" max="15627" width="9.140625" style="21"/>
    <col min="15628" max="15628" width="16.7109375" style="21" bestFit="1" customWidth="1"/>
    <col min="15629" max="15872" width="9.140625" style="21"/>
    <col min="15873" max="15873" width="14.5703125" style="21" customWidth="1"/>
    <col min="15874" max="15875" width="10.28515625" style="21" customWidth="1"/>
    <col min="15876" max="15876" width="8.42578125" style="21" customWidth="1"/>
    <col min="15877" max="15877" width="11.42578125" style="21" customWidth="1"/>
    <col min="15878" max="15878" width="9.42578125" style="21" customWidth="1"/>
    <col min="15879" max="15879" width="11.42578125" style="21" customWidth="1"/>
    <col min="15880" max="15880" width="11.28515625" style="21" customWidth="1"/>
    <col min="15881" max="15881" width="9.28515625" style="21" customWidth="1"/>
    <col min="15882" max="15882" width="8" style="21" customWidth="1"/>
    <col min="15883" max="15883" width="9.140625" style="21"/>
    <col min="15884" max="15884" width="16.7109375" style="21" bestFit="1" customWidth="1"/>
    <col min="15885" max="16128" width="9.140625" style="21"/>
    <col min="16129" max="16129" width="14.5703125" style="21" customWidth="1"/>
    <col min="16130" max="16131" width="10.28515625" style="21" customWidth="1"/>
    <col min="16132" max="16132" width="8.42578125" style="21" customWidth="1"/>
    <col min="16133" max="16133" width="11.42578125" style="21" customWidth="1"/>
    <col min="16134" max="16134" width="9.42578125" style="21" customWidth="1"/>
    <col min="16135" max="16135" width="11.42578125" style="21" customWidth="1"/>
    <col min="16136" max="16136" width="11.28515625" style="21" customWidth="1"/>
    <col min="16137" max="16137" width="9.28515625" style="21" customWidth="1"/>
    <col min="16138" max="16138" width="8" style="21" customWidth="1"/>
    <col min="16139" max="16139" width="9.140625" style="21"/>
    <col min="16140" max="16140" width="16.7109375" style="21" bestFit="1" customWidth="1"/>
    <col min="16141" max="16384" width="9.140625" style="21"/>
  </cols>
  <sheetData>
    <row r="1" spans="1:9" x14ac:dyDescent="0.2">
      <c r="A1" s="42" t="s">
        <v>407</v>
      </c>
      <c r="B1" s="45"/>
      <c r="C1" s="45"/>
      <c r="D1" s="45"/>
      <c r="E1" s="45"/>
      <c r="F1" s="45"/>
      <c r="G1" s="45"/>
      <c r="H1" s="45"/>
      <c r="I1" s="45"/>
    </row>
    <row r="2" spans="1:9" x14ac:dyDescent="0.2">
      <c r="B2" s="102"/>
      <c r="C2" s="102"/>
      <c r="D2" s="102"/>
      <c r="E2" s="102"/>
    </row>
    <row r="3" spans="1:9" x14ac:dyDescent="0.2">
      <c r="A3" s="21" t="s">
        <v>343</v>
      </c>
      <c r="G3" s="103" t="s">
        <v>8</v>
      </c>
      <c r="I3" s="104" t="s">
        <v>9</v>
      </c>
    </row>
    <row r="4" spans="1:9" x14ac:dyDescent="0.2">
      <c r="A4" s="21" t="s">
        <v>10</v>
      </c>
      <c r="B4" s="222" t="s">
        <v>11</v>
      </c>
      <c r="C4" s="222"/>
      <c r="D4" s="222"/>
      <c r="E4" s="49" t="s">
        <v>12</v>
      </c>
      <c r="G4" s="103" t="s">
        <v>13</v>
      </c>
      <c r="H4" s="49" t="s">
        <v>14</v>
      </c>
      <c r="I4" s="104" t="s">
        <v>15</v>
      </c>
    </row>
    <row r="5" spans="1:9" x14ac:dyDescent="0.2">
      <c r="A5" s="44"/>
      <c r="B5" s="45" t="s">
        <v>16</v>
      </c>
      <c r="C5" s="45" t="s">
        <v>17</v>
      </c>
      <c r="D5" s="45" t="s">
        <v>18</v>
      </c>
      <c r="E5" s="45" t="s">
        <v>19</v>
      </c>
      <c r="F5" s="45" t="s">
        <v>20</v>
      </c>
      <c r="G5" s="105" t="s">
        <v>21</v>
      </c>
      <c r="H5" s="45" t="s">
        <v>19</v>
      </c>
      <c r="I5" s="106" t="s">
        <v>22</v>
      </c>
    </row>
    <row r="6" spans="1:9" x14ac:dyDescent="0.2">
      <c r="C6" s="102"/>
      <c r="D6" s="102"/>
      <c r="E6" s="102"/>
      <c r="F6" s="102"/>
      <c r="G6" s="102"/>
      <c r="H6" s="102"/>
      <c r="I6" s="102"/>
    </row>
    <row r="7" spans="1:9" x14ac:dyDescent="0.2">
      <c r="A7" s="107" t="s">
        <v>24</v>
      </c>
    </row>
    <row r="8" spans="1:9" x14ac:dyDescent="0.2">
      <c r="A8" s="33">
        <v>1990</v>
      </c>
      <c r="B8" s="49">
        <v>155</v>
      </c>
      <c r="C8" s="49">
        <v>381</v>
      </c>
      <c r="D8" s="49">
        <v>536</v>
      </c>
      <c r="E8" s="49">
        <v>899</v>
      </c>
      <c r="F8" s="49">
        <v>1421</v>
      </c>
      <c r="G8" s="49">
        <v>0</v>
      </c>
      <c r="H8" s="49">
        <v>1412</v>
      </c>
      <c r="I8" s="49">
        <f t="shared" ref="I8:I42" si="0">F8+G8+H8</f>
        <v>2833</v>
      </c>
    </row>
    <row r="9" spans="1:9" x14ac:dyDescent="0.2">
      <c r="A9" s="33">
        <v>1991</v>
      </c>
      <c r="B9" s="49">
        <v>168</v>
      </c>
      <c r="C9" s="49">
        <v>371</v>
      </c>
      <c r="D9" s="49">
        <f>B9+C9</f>
        <v>539</v>
      </c>
      <c r="E9" s="49">
        <v>812</v>
      </c>
      <c r="F9" s="49">
        <v>1403</v>
      </c>
      <c r="G9" s="49">
        <v>0</v>
      </c>
      <c r="H9" s="49">
        <v>1327</v>
      </c>
      <c r="I9" s="49">
        <f t="shared" si="0"/>
        <v>2730</v>
      </c>
    </row>
    <row r="10" spans="1:9" x14ac:dyDescent="0.2">
      <c r="A10" s="33">
        <v>1992</v>
      </c>
      <c r="B10" s="49">
        <v>194</v>
      </c>
      <c r="C10" s="49">
        <v>619</v>
      </c>
      <c r="D10" s="49">
        <f>B10+C10</f>
        <v>813</v>
      </c>
      <c r="E10" s="49">
        <v>890</v>
      </c>
      <c r="F10" s="49">
        <f t="shared" ref="F10:F42" si="1">D10+E10</f>
        <v>1703</v>
      </c>
      <c r="G10" s="49">
        <v>0</v>
      </c>
      <c r="H10" s="49">
        <v>1336</v>
      </c>
      <c r="I10" s="49">
        <f t="shared" si="0"/>
        <v>3039</v>
      </c>
    </row>
    <row r="11" spans="1:9" x14ac:dyDescent="0.2">
      <c r="A11" s="33">
        <v>1993</v>
      </c>
      <c r="B11" s="49">
        <v>183</v>
      </c>
      <c r="C11" s="49">
        <v>507</v>
      </c>
      <c r="D11" s="49">
        <f>B11+C11</f>
        <v>690</v>
      </c>
      <c r="E11" s="49">
        <v>895</v>
      </c>
      <c r="F11" s="49">
        <f t="shared" si="1"/>
        <v>1585</v>
      </c>
      <c r="G11" s="49">
        <v>0</v>
      </c>
      <c r="H11" s="49">
        <v>1640</v>
      </c>
      <c r="I11" s="49">
        <f t="shared" si="0"/>
        <v>3225</v>
      </c>
    </row>
    <row r="12" spans="1:9" x14ac:dyDescent="0.2">
      <c r="A12" s="33">
        <v>1994</v>
      </c>
      <c r="B12" s="49">
        <v>218</v>
      </c>
      <c r="C12" s="49">
        <v>438</v>
      </c>
      <c r="D12" s="49">
        <f>B12+C12</f>
        <v>656</v>
      </c>
      <c r="E12" s="49">
        <v>1160</v>
      </c>
      <c r="F12" s="49">
        <f t="shared" si="1"/>
        <v>1816</v>
      </c>
      <c r="G12" s="49">
        <v>0</v>
      </c>
      <c r="H12" s="49">
        <v>1696</v>
      </c>
      <c r="I12" s="49">
        <f t="shared" si="0"/>
        <v>3512</v>
      </c>
    </row>
    <row r="13" spans="1:9" x14ac:dyDescent="0.2">
      <c r="A13" s="33">
        <v>1995</v>
      </c>
      <c r="B13" s="49">
        <v>185</v>
      </c>
      <c r="C13" s="49">
        <v>448</v>
      </c>
      <c r="D13" s="49">
        <f>B13+C13</f>
        <v>633</v>
      </c>
      <c r="E13" s="49">
        <v>906</v>
      </c>
      <c r="F13" s="49">
        <f t="shared" si="1"/>
        <v>1539</v>
      </c>
      <c r="G13" s="49">
        <v>6</v>
      </c>
      <c r="H13" s="49">
        <v>1594</v>
      </c>
      <c r="I13" s="49">
        <f t="shared" si="0"/>
        <v>3139</v>
      </c>
    </row>
    <row r="14" spans="1:9" x14ac:dyDescent="0.2">
      <c r="A14" s="33">
        <v>1996</v>
      </c>
      <c r="B14" s="49">
        <v>195</v>
      </c>
      <c r="C14" s="49">
        <v>334</v>
      </c>
      <c r="D14" s="49">
        <v>530</v>
      </c>
      <c r="E14" s="49">
        <v>996</v>
      </c>
      <c r="F14" s="49">
        <f t="shared" si="1"/>
        <v>1526</v>
      </c>
      <c r="G14" s="49">
        <v>0</v>
      </c>
      <c r="H14" s="49">
        <v>1383</v>
      </c>
      <c r="I14" s="49">
        <f t="shared" si="0"/>
        <v>2909</v>
      </c>
    </row>
    <row r="15" spans="1:9" x14ac:dyDescent="0.2">
      <c r="A15" s="33">
        <v>1997</v>
      </c>
      <c r="B15" s="49">
        <v>196</v>
      </c>
      <c r="C15" s="49">
        <v>323</v>
      </c>
      <c r="D15" s="49">
        <f t="shared" ref="D15:D42" si="2">B15+C15</f>
        <v>519</v>
      </c>
      <c r="E15" s="49">
        <v>1156</v>
      </c>
      <c r="F15" s="49">
        <f t="shared" si="1"/>
        <v>1675</v>
      </c>
      <c r="G15" s="49">
        <v>0</v>
      </c>
      <c r="H15" s="49">
        <v>1520</v>
      </c>
      <c r="I15" s="49">
        <f t="shared" si="0"/>
        <v>3195</v>
      </c>
    </row>
    <row r="16" spans="1:9" x14ac:dyDescent="0.2">
      <c r="A16" s="33">
        <v>1998</v>
      </c>
      <c r="B16" s="49">
        <v>212</v>
      </c>
      <c r="C16" s="49">
        <v>322</v>
      </c>
      <c r="D16" s="49">
        <f t="shared" si="2"/>
        <v>534</v>
      </c>
      <c r="E16" s="49">
        <v>1308</v>
      </c>
      <c r="F16" s="49">
        <f t="shared" si="1"/>
        <v>1842</v>
      </c>
      <c r="G16" s="49">
        <v>0</v>
      </c>
      <c r="H16" s="49">
        <v>1535</v>
      </c>
      <c r="I16" s="49">
        <f t="shared" si="0"/>
        <v>3377</v>
      </c>
    </row>
    <row r="17" spans="1:9" x14ac:dyDescent="0.2">
      <c r="A17" s="33">
        <v>1999</v>
      </c>
      <c r="B17" s="49">
        <v>255</v>
      </c>
      <c r="C17" s="49">
        <v>332</v>
      </c>
      <c r="D17" s="49">
        <f t="shared" si="2"/>
        <v>587</v>
      </c>
      <c r="E17" s="49">
        <v>1335</v>
      </c>
      <c r="F17" s="49">
        <f t="shared" si="1"/>
        <v>1922</v>
      </c>
      <c r="G17" s="49">
        <v>0</v>
      </c>
      <c r="H17" s="49">
        <v>1499</v>
      </c>
      <c r="I17" s="49">
        <f t="shared" si="0"/>
        <v>3421</v>
      </c>
    </row>
    <row r="18" spans="1:9" x14ac:dyDescent="0.2">
      <c r="A18" s="33">
        <v>2000</v>
      </c>
      <c r="B18" s="49">
        <v>208</v>
      </c>
      <c r="C18" s="49">
        <v>356</v>
      </c>
      <c r="D18" s="49">
        <f t="shared" si="2"/>
        <v>564</v>
      </c>
      <c r="E18" s="49">
        <v>1737</v>
      </c>
      <c r="F18" s="49">
        <f t="shared" si="1"/>
        <v>2301</v>
      </c>
      <c r="G18" s="49">
        <v>0</v>
      </c>
      <c r="H18" s="49">
        <v>1554</v>
      </c>
      <c r="I18" s="49">
        <f t="shared" si="0"/>
        <v>3855</v>
      </c>
    </row>
    <row r="19" spans="1:9" x14ac:dyDescent="0.2">
      <c r="A19" s="33">
        <v>2001</v>
      </c>
      <c r="B19" s="49">
        <v>262.26100000000002</v>
      </c>
      <c r="C19" s="49">
        <v>273.98899999999998</v>
      </c>
      <c r="D19" s="49">
        <f t="shared" si="2"/>
        <v>536.25</v>
      </c>
      <c r="E19" s="49">
        <v>1532.8689999999999</v>
      </c>
      <c r="F19" s="49">
        <f t="shared" si="1"/>
        <v>2069.1189999999997</v>
      </c>
      <c r="G19" s="49">
        <v>767.44799999999998</v>
      </c>
      <c r="H19" s="49">
        <v>1499.9690000000001</v>
      </c>
      <c r="I19" s="49">
        <f t="shared" si="0"/>
        <v>4336.5360000000001</v>
      </c>
    </row>
    <row r="20" spans="1:9" x14ac:dyDescent="0.2">
      <c r="A20" s="33">
        <v>2002</v>
      </c>
      <c r="B20" s="49">
        <v>288.08300000000003</v>
      </c>
      <c r="C20" s="49">
        <v>350.62799999999999</v>
      </c>
      <c r="D20" s="49">
        <f t="shared" si="2"/>
        <v>638.71100000000001</v>
      </c>
      <c r="E20" s="49">
        <v>1780.519</v>
      </c>
      <c r="F20" s="49">
        <f t="shared" si="1"/>
        <v>2419.23</v>
      </c>
      <c r="G20" s="49">
        <v>633.88699999999994</v>
      </c>
      <c r="H20" s="49">
        <v>1472.0139999999999</v>
      </c>
      <c r="I20" s="49">
        <f t="shared" si="0"/>
        <v>4525.1310000000003</v>
      </c>
    </row>
    <row r="21" spans="1:9" x14ac:dyDescent="0.2">
      <c r="A21" s="33">
        <v>2003</v>
      </c>
      <c r="B21" s="49">
        <v>297.709</v>
      </c>
      <c r="C21" s="49">
        <v>299.09699999999998</v>
      </c>
      <c r="D21" s="49">
        <f t="shared" si="2"/>
        <v>596.80600000000004</v>
      </c>
      <c r="E21" s="49">
        <v>1289.019</v>
      </c>
      <c r="F21" s="49">
        <f t="shared" si="1"/>
        <v>1885.825</v>
      </c>
      <c r="G21" s="49">
        <v>245.964</v>
      </c>
      <c r="H21" s="49">
        <v>1299.874</v>
      </c>
      <c r="I21" s="49">
        <f t="shared" si="0"/>
        <v>3431.6630000000005</v>
      </c>
    </row>
    <row r="22" spans="1:9" x14ac:dyDescent="0.2">
      <c r="A22" s="33">
        <v>2004</v>
      </c>
      <c r="B22" s="49">
        <v>326.31</v>
      </c>
      <c r="C22" s="49">
        <v>285.53500000000003</v>
      </c>
      <c r="D22" s="49">
        <f t="shared" si="2"/>
        <v>611.84500000000003</v>
      </c>
      <c r="E22" s="49">
        <v>1658.741</v>
      </c>
      <c r="F22" s="49">
        <f t="shared" si="1"/>
        <v>2270.5860000000002</v>
      </c>
      <c r="G22" s="49">
        <v>0</v>
      </c>
      <c r="H22" s="49">
        <v>1817.356</v>
      </c>
      <c r="I22" s="49">
        <f t="shared" si="0"/>
        <v>4087.942</v>
      </c>
    </row>
    <row r="23" spans="1:9" x14ac:dyDescent="0.2">
      <c r="A23" s="33">
        <v>2005</v>
      </c>
      <c r="B23" s="49">
        <v>368.15499999999997</v>
      </c>
      <c r="C23" s="49">
        <v>244.60499999999999</v>
      </c>
      <c r="D23" s="49">
        <f t="shared" si="2"/>
        <v>612.76</v>
      </c>
      <c r="E23" s="49">
        <v>1634.913</v>
      </c>
      <c r="F23" s="49">
        <f t="shared" si="1"/>
        <v>2247.6729999999998</v>
      </c>
      <c r="G23" s="49">
        <v>28.088000000000001</v>
      </c>
      <c r="H23" s="49">
        <v>1753.413</v>
      </c>
      <c r="I23" s="49">
        <f t="shared" si="0"/>
        <v>4029.174</v>
      </c>
    </row>
    <row r="24" spans="1:9" x14ac:dyDescent="0.2">
      <c r="A24" s="33">
        <v>2006</v>
      </c>
      <c r="B24" s="49">
        <v>328.26299999999998</v>
      </c>
      <c r="C24" s="49">
        <v>217.49700000000001</v>
      </c>
      <c r="D24" s="49">
        <f t="shared" si="2"/>
        <v>545.76</v>
      </c>
      <c r="E24" s="49">
        <v>1382.28</v>
      </c>
      <c r="F24" s="49">
        <f t="shared" si="1"/>
        <v>1928.04</v>
      </c>
      <c r="G24" s="49">
        <v>0</v>
      </c>
      <c r="H24" s="49">
        <v>1429.0029999999999</v>
      </c>
      <c r="I24" s="49">
        <f t="shared" si="0"/>
        <v>3357.0429999999997</v>
      </c>
    </row>
    <row r="25" spans="1:9" x14ac:dyDescent="0.2">
      <c r="A25" s="33">
        <v>2007</v>
      </c>
      <c r="B25" s="49">
        <v>452.12</v>
      </c>
      <c r="C25" s="49">
        <v>358.12400000000002</v>
      </c>
      <c r="D25" s="49">
        <f t="shared" si="2"/>
        <v>810.24400000000003</v>
      </c>
      <c r="E25" s="49">
        <v>1437.0509999999999</v>
      </c>
      <c r="F25" s="49">
        <f t="shared" si="1"/>
        <v>2247.2950000000001</v>
      </c>
      <c r="G25" s="49">
        <v>0</v>
      </c>
      <c r="H25" s="49">
        <v>1791.69</v>
      </c>
      <c r="I25" s="49">
        <f t="shared" si="0"/>
        <v>4038.9850000000001</v>
      </c>
    </row>
    <row r="26" spans="1:9" x14ac:dyDescent="0.2">
      <c r="A26" s="33">
        <v>2008</v>
      </c>
      <c r="B26" s="49">
        <v>399.53500000000003</v>
      </c>
      <c r="C26" s="49">
        <v>303.65699999999998</v>
      </c>
      <c r="D26" s="49">
        <f t="shared" si="2"/>
        <v>703.19200000000001</v>
      </c>
      <c r="E26" s="49">
        <v>1499.886</v>
      </c>
      <c r="F26" s="49">
        <f t="shared" si="1"/>
        <v>2203.078</v>
      </c>
      <c r="G26" s="49">
        <v>0</v>
      </c>
      <c r="H26" s="49">
        <v>1806.173</v>
      </c>
      <c r="I26" s="49">
        <f t="shared" si="0"/>
        <v>4009.2510000000002</v>
      </c>
    </row>
    <row r="27" spans="1:9" x14ac:dyDescent="0.2">
      <c r="A27" s="33">
        <v>2009</v>
      </c>
      <c r="B27" s="49">
        <v>440.202</v>
      </c>
      <c r="C27" s="49">
        <v>467.99700000000001</v>
      </c>
      <c r="D27" s="49">
        <f t="shared" si="2"/>
        <v>908.19900000000007</v>
      </c>
      <c r="E27" s="49">
        <v>1611.7239999999999</v>
      </c>
      <c r="F27" s="49">
        <f t="shared" si="1"/>
        <v>2519.9229999999998</v>
      </c>
      <c r="G27" s="49">
        <v>0</v>
      </c>
      <c r="H27" s="49">
        <v>1464.0989999999999</v>
      </c>
      <c r="I27" s="49">
        <f t="shared" si="0"/>
        <v>3984.0219999999999</v>
      </c>
    </row>
    <row r="28" spans="1:9" x14ac:dyDescent="0.2">
      <c r="A28" s="33">
        <v>2010</v>
      </c>
      <c r="B28" s="49">
        <v>483.70299999999997</v>
      </c>
      <c r="C28" s="49">
        <v>345.971</v>
      </c>
      <c r="D28" s="49">
        <f t="shared" si="2"/>
        <v>829.67399999999998</v>
      </c>
      <c r="E28" s="49">
        <v>1273.817</v>
      </c>
      <c r="F28" s="49">
        <f t="shared" si="1"/>
        <v>2103.491</v>
      </c>
      <c r="G28" s="49">
        <v>0</v>
      </c>
      <c r="H28" s="49">
        <v>1455.951</v>
      </c>
      <c r="I28" s="49">
        <f t="shared" si="0"/>
        <v>3559.442</v>
      </c>
    </row>
    <row r="29" spans="1:9" x14ac:dyDescent="0.2">
      <c r="A29" s="35">
        <v>2011</v>
      </c>
      <c r="B29" s="49">
        <v>465.86200000000002</v>
      </c>
      <c r="C29" s="49">
        <v>256.75900000000001</v>
      </c>
      <c r="D29" s="49">
        <f t="shared" si="2"/>
        <v>722.62100000000009</v>
      </c>
      <c r="E29" s="49">
        <v>1454.971</v>
      </c>
      <c r="F29" s="49">
        <f t="shared" si="1"/>
        <v>2177.5920000000001</v>
      </c>
      <c r="G29" s="49">
        <v>0</v>
      </c>
      <c r="H29" s="49">
        <v>1691.194</v>
      </c>
      <c r="I29" s="49">
        <f t="shared" si="0"/>
        <v>3868.7860000000001</v>
      </c>
    </row>
    <row r="30" spans="1:9" x14ac:dyDescent="0.2">
      <c r="A30" s="35">
        <v>2012</v>
      </c>
      <c r="B30" s="49">
        <v>314.62700000000001</v>
      </c>
      <c r="C30" s="49">
        <v>498.41300000000001</v>
      </c>
      <c r="D30" s="49">
        <f t="shared" si="2"/>
        <v>813.04</v>
      </c>
      <c r="E30" s="49">
        <v>1370.2049999999999</v>
      </c>
      <c r="F30" s="49">
        <f t="shared" si="1"/>
        <v>2183.2449999999999</v>
      </c>
      <c r="G30" s="49">
        <v>0</v>
      </c>
      <c r="H30" s="49">
        <v>1597.002</v>
      </c>
      <c r="I30" s="49">
        <f t="shared" si="0"/>
        <v>3780.2469999999998</v>
      </c>
    </row>
    <row r="31" spans="1:9" x14ac:dyDescent="0.2">
      <c r="A31" s="35">
        <v>2013</v>
      </c>
      <c r="B31" s="49">
        <v>388.01</v>
      </c>
      <c r="C31" s="49">
        <v>573.66600000000005</v>
      </c>
      <c r="D31" s="49">
        <f t="shared" si="2"/>
        <v>961.67600000000004</v>
      </c>
      <c r="E31" s="49">
        <v>1646.212</v>
      </c>
      <c r="F31" s="49">
        <f t="shared" si="1"/>
        <v>2607.8879999999999</v>
      </c>
      <c r="G31" s="49">
        <v>0</v>
      </c>
      <c r="H31" s="49">
        <v>2012.6559999999999</v>
      </c>
      <c r="I31" s="49">
        <f t="shared" si="0"/>
        <v>4620.5439999999999</v>
      </c>
    </row>
    <row r="32" spans="1:9" x14ac:dyDescent="0.2">
      <c r="A32" s="35">
        <v>2014</v>
      </c>
      <c r="B32" s="49">
        <v>571.80799999999999</v>
      </c>
      <c r="C32" s="49">
        <v>592.02700000000004</v>
      </c>
      <c r="D32" s="49">
        <f t="shared" si="2"/>
        <v>1163.835</v>
      </c>
      <c r="E32" s="49">
        <v>1713.933</v>
      </c>
      <c r="F32" s="49">
        <f t="shared" si="1"/>
        <v>2877.768</v>
      </c>
      <c r="G32" s="49">
        <v>0</v>
      </c>
      <c r="H32" s="49">
        <v>1603.2829999999999</v>
      </c>
      <c r="I32" s="49">
        <f t="shared" si="0"/>
        <v>4481.0509999999995</v>
      </c>
    </row>
    <row r="33" spans="1:9" x14ac:dyDescent="0.2">
      <c r="A33" s="35">
        <v>2015</v>
      </c>
      <c r="B33" s="49">
        <v>351.03199999999998</v>
      </c>
      <c r="C33" s="49">
        <v>555.79399999999998</v>
      </c>
      <c r="D33" s="49">
        <f t="shared" si="2"/>
        <v>906.82600000000002</v>
      </c>
      <c r="E33" s="49">
        <v>1634.1379999999999</v>
      </c>
      <c r="F33" s="49">
        <f t="shared" si="1"/>
        <v>2540.9639999999999</v>
      </c>
      <c r="G33" s="49">
        <v>0</v>
      </c>
      <c r="H33" s="49">
        <v>1588.5719999999999</v>
      </c>
      <c r="I33" s="49">
        <f t="shared" si="0"/>
        <v>4129.5360000000001</v>
      </c>
    </row>
    <row r="34" spans="1:9" x14ac:dyDescent="0.2">
      <c r="A34" s="35">
        <v>2016</v>
      </c>
      <c r="B34" s="49">
        <v>413.34800000000001</v>
      </c>
      <c r="C34" s="49">
        <v>322.39299999999997</v>
      </c>
      <c r="D34" s="49">
        <f t="shared" si="2"/>
        <v>735.74099999999999</v>
      </c>
      <c r="E34" s="49">
        <v>1335.5160000000001</v>
      </c>
      <c r="F34" s="49">
        <f t="shared" si="1"/>
        <v>2071.2570000000001</v>
      </c>
      <c r="G34" s="49">
        <v>0</v>
      </c>
      <c r="H34" s="49">
        <v>1888.9860000000001</v>
      </c>
      <c r="I34" s="49">
        <f t="shared" si="0"/>
        <v>3960.2430000000004</v>
      </c>
    </row>
    <row r="35" spans="1:9" x14ac:dyDescent="0.2">
      <c r="A35" s="35">
        <v>2017</v>
      </c>
      <c r="B35" s="49">
        <v>324.791</v>
      </c>
      <c r="C35" s="49">
        <v>361.56099999999998</v>
      </c>
      <c r="D35" s="49">
        <f t="shared" si="2"/>
        <v>686.35199999999998</v>
      </c>
      <c r="E35" s="49">
        <v>1623.213</v>
      </c>
      <c r="F35" s="49">
        <f t="shared" si="1"/>
        <v>2309.5650000000001</v>
      </c>
      <c r="G35" s="49">
        <v>0</v>
      </c>
      <c r="H35" s="49">
        <v>2041.0170000000001</v>
      </c>
      <c r="I35" s="49">
        <f t="shared" si="0"/>
        <v>4350.5820000000003</v>
      </c>
    </row>
    <row r="36" spans="1:9" x14ac:dyDescent="0.2">
      <c r="A36" s="35">
        <v>2018</v>
      </c>
      <c r="B36" s="49">
        <v>315.71499999999997</v>
      </c>
      <c r="C36" s="49">
        <v>538.274</v>
      </c>
      <c r="D36" s="49">
        <f t="shared" si="2"/>
        <v>853.98900000000003</v>
      </c>
      <c r="E36" s="49">
        <v>1528.7439999999999</v>
      </c>
      <c r="F36" s="49">
        <f t="shared" si="1"/>
        <v>2382.7330000000002</v>
      </c>
      <c r="G36" s="49">
        <v>0</v>
      </c>
      <c r="H36" s="49">
        <v>1715.8879999999999</v>
      </c>
      <c r="I36" s="49">
        <f t="shared" si="0"/>
        <v>4098.6210000000001</v>
      </c>
    </row>
    <row r="37" spans="1:9" x14ac:dyDescent="0.2">
      <c r="A37" s="35">
        <v>2019</v>
      </c>
      <c r="B37" s="49">
        <v>288.06599999999997</v>
      </c>
      <c r="C37" s="49">
        <v>527.97500000000002</v>
      </c>
      <c r="D37" s="49">
        <f t="shared" si="2"/>
        <v>816.04099999999994</v>
      </c>
      <c r="E37" s="49">
        <v>1672.924</v>
      </c>
      <c r="F37" s="49">
        <f t="shared" si="1"/>
        <v>2488.9650000000001</v>
      </c>
      <c r="G37" s="49">
        <v>0</v>
      </c>
      <c r="H37" s="49">
        <v>1889.1410000000001</v>
      </c>
      <c r="I37" s="49">
        <f t="shared" si="0"/>
        <v>4378.1059999999998</v>
      </c>
    </row>
    <row r="38" spans="1:9" x14ac:dyDescent="0.2">
      <c r="A38" s="35">
        <v>2020</v>
      </c>
      <c r="B38" s="49">
        <v>325.5</v>
      </c>
      <c r="C38" s="49">
        <v>565.22500000000002</v>
      </c>
      <c r="D38" s="49">
        <f t="shared" si="2"/>
        <v>890.72500000000002</v>
      </c>
      <c r="E38" s="49">
        <v>1510.1479999999999</v>
      </c>
      <c r="F38" s="49">
        <f t="shared" si="1"/>
        <v>2400.873</v>
      </c>
      <c r="G38" s="49">
        <v>0</v>
      </c>
      <c r="H38" s="49">
        <v>1453.75</v>
      </c>
      <c r="I38" s="49">
        <f t="shared" si="0"/>
        <v>3854.623</v>
      </c>
    </row>
    <row r="39" spans="1:9" x14ac:dyDescent="0.2">
      <c r="A39" s="35">
        <v>2021</v>
      </c>
      <c r="B39" s="49">
        <v>338.61599999999999</v>
      </c>
      <c r="C39" s="49">
        <v>560.05499999999995</v>
      </c>
      <c r="D39" s="49">
        <f t="shared" si="2"/>
        <v>898.67099999999994</v>
      </c>
      <c r="E39" s="49">
        <v>1422.451</v>
      </c>
      <c r="F39" s="49">
        <f t="shared" si="1"/>
        <v>2321.1219999999998</v>
      </c>
      <c r="G39" s="49">
        <v>0</v>
      </c>
      <c r="H39" s="49">
        <v>1760.27</v>
      </c>
      <c r="I39" s="49">
        <f t="shared" si="0"/>
        <v>4081.3919999999998</v>
      </c>
    </row>
    <row r="40" spans="1:9" x14ac:dyDescent="0.2">
      <c r="A40" s="35">
        <v>2022</v>
      </c>
      <c r="B40" s="49">
        <v>327.17099999999999</v>
      </c>
      <c r="C40" s="49">
        <v>482.904</v>
      </c>
      <c r="D40" s="49">
        <f t="shared" si="2"/>
        <v>810.07500000000005</v>
      </c>
      <c r="E40" s="49">
        <v>1523.798</v>
      </c>
      <c r="F40" s="49">
        <f t="shared" si="1"/>
        <v>2333.873</v>
      </c>
      <c r="G40" s="49">
        <v>0</v>
      </c>
      <c r="H40" s="49">
        <v>1743.5139999999999</v>
      </c>
      <c r="I40" s="49">
        <f t="shared" si="0"/>
        <v>4077.3869999999997</v>
      </c>
    </row>
    <row r="41" spans="1:9" x14ac:dyDescent="0.2">
      <c r="A41" s="35">
        <v>2023</v>
      </c>
      <c r="B41" s="49">
        <v>348.40199999999999</v>
      </c>
      <c r="C41" s="49">
        <v>589.74900000000002</v>
      </c>
      <c r="D41" s="49">
        <f t="shared" si="2"/>
        <v>938.15100000000007</v>
      </c>
      <c r="E41" s="49">
        <v>1592.63</v>
      </c>
      <c r="F41" s="49">
        <f t="shared" si="1"/>
        <v>2530.7809999999999</v>
      </c>
      <c r="G41" s="49">
        <v>0</v>
      </c>
      <c r="H41" s="49">
        <v>1621.2339999999999</v>
      </c>
      <c r="I41" s="49">
        <f t="shared" si="0"/>
        <v>4152.0149999999994</v>
      </c>
    </row>
    <row r="42" spans="1:9" x14ac:dyDescent="0.2">
      <c r="A42" s="35">
        <v>2024</v>
      </c>
      <c r="B42" s="49">
        <v>404.714</v>
      </c>
      <c r="C42" s="49">
        <v>578.96799999999996</v>
      </c>
      <c r="D42" s="49">
        <f t="shared" si="2"/>
        <v>983.68200000000002</v>
      </c>
      <c r="E42" s="49">
        <v>1483.8679999999999</v>
      </c>
      <c r="F42" s="49">
        <f t="shared" si="1"/>
        <v>2467.5500000000002</v>
      </c>
      <c r="G42" s="49">
        <v>0</v>
      </c>
      <c r="H42" s="49">
        <v>1749.24</v>
      </c>
      <c r="I42" s="49">
        <f t="shared" si="0"/>
        <v>4216.79</v>
      </c>
    </row>
    <row r="43" spans="1:9" x14ac:dyDescent="0.2">
      <c r="A43" s="35"/>
    </row>
    <row r="44" spans="1:9" x14ac:dyDescent="0.2">
      <c r="A44" s="107" t="s">
        <v>30</v>
      </c>
    </row>
    <row r="45" spans="1:9" x14ac:dyDescent="0.2">
      <c r="A45" s="33">
        <v>1990</v>
      </c>
      <c r="B45" s="49">
        <v>199</v>
      </c>
      <c r="C45" s="49">
        <v>393</v>
      </c>
      <c r="D45" s="49">
        <v>592</v>
      </c>
      <c r="E45" s="49">
        <v>1017</v>
      </c>
      <c r="F45" s="49">
        <f t="shared" ref="F45:F79" si="3">D45+E45</f>
        <v>1609</v>
      </c>
      <c r="G45" s="49">
        <v>0</v>
      </c>
      <c r="H45" s="49">
        <v>1470</v>
      </c>
      <c r="I45" s="49">
        <f t="shared" ref="I45:I79" si="4">F45+G45+H45</f>
        <v>3079</v>
      </c>
    </row>
    <row r="46" spans="1:9" x14ac:dyDescent="0.2">
      <c r="A46" s="33">
        <v>1991</v>
      </c>
      <c r="B46" s="49">
        <v>226</v>
      </c>
      <c r="C46" s="49">
        <v>430</v>
      </c>
      <c r="D46" s="49">
        <f>B46+C46</f>
        <v>656</v>
      </c>
      <c r="E46" s="49">
        <v>1255</v>
      </c>
      <c r="F46" s="49">
        <f t="shared" si="3"/>
        <v>1911</v>
      </c>
      <c r="G46" s="49">
        <v>0</v>
      </c>
      <c r="H46" s="49">
        <v>1577</v>
      </c>
      <c r="I46" s="49">
        <f t="shared" si="4"/>
        <v>3488</v>
      </c>
    </row>
    <row r="47" spans="1:9" x14ac:dyDescent="0.2">
      <c r="A47" s="33">
        <v>1992</v>
      </c>
      <c r="B47" s="49">
        <v>261</v>
      </c>
      <c r="C47" s="49">
        <v>487</v>
      </c>
      <c r="D47" s="49">
        <f>B47+C47</f>
        <v>748</v>
      </c>
      <c r="E47" s="49">
        <v>1415</v>
      </c>
      <c r="F47" s="49">
        <f t="shared" si="3"/>
        <v>2163</v>
      </c>
      <c r="G47" s="49">
        <v>0</v>
      </c>
      <c r="H47" s="49">
        <v>1461</v>
      </c>
      <c r="I47" s="49">
        <f t="shared" si="4"/>
        <v>3624</v>
      </c>
    </row>
    <row r="48" spans="1:9" x14ac:dyDescent="0.2">
      <c r="A48" s="33">
        <v>1993</v>
      </c>
      <c r="B48" s="49">
        <v>231</v>
      </c>
      <c r="C48" s="49">
        <v>424</v>
      </c>
      <c r="D48" s="49">
        <f>B48+C48</f>
        <v>655</v>
      </c>
      <c r="E48" s="49">
        <v>1388</v>
      </c>
      <c r="F48" s="49">
        <f t="shared" si="3"/>
        <v>2043</v>
      </c>
      <c r="G48" s="49">
        <v>0</v>
      </c>
      <c r="H48" s="49">
        <v>1861</v>
      </c>
      <c r="I48" s="49">
        <f t="shared" si="4"/>
        <v>3904</v>
      </c>
    </row>
    <row r="49" spans="1:9" x14ac:dyDescent="0.2">
      <c r="A49" s="33">
        <v>1994</v>
      </c>
      <c r="B49" s="49">
        <v>290</v>
      </c>
      <c r="C49" s="49">
        <v>448</v>
      </c>
      <c r="D49" s="49">
        <f>B49+C49</f>
        <v>738</v>
      </c>
      <c r="E49" s="49">
        <v>1482</v>
      </c>
      <c r="F49" s="49">
        <f t="shared" si="3"/>
        <v>2220</v>
      </c>
      <c r="G49" s="49">
        <v>0</v>
      </c>
      <c r="H49" s="49">
        <v>1799</v>
      </c>
      <c r="I49" s="49">
        <f t="shared" si="4"/>
        <v>4019</v>
      </c>
    </row>
    <row r="50" spans="1:9" x14ac:dyDescent="0.2">
      <c r="A50" s="33">
        <v>1995</v>
      </c>
      <c r="B50" s="49">
        <v>251</v>
      </c>
      <c r="C50" s="49">
        <v>488</v>
      </c>
      <c r="D50" s="49">
        <v>739</v>
      </c>
      <c r="E50" s="49">
        <v>1404</v>
      </c>
      <c r="F50" s="49">
        <f t="shared" si="3"/>
        <v>2143</v>
      </c>
      <c r="G50" s="49">
        <v>0</v>
      </c>
      <c r="H50" s="49">
        <v>1786</v>
      </c>
      <c r="I50" s="49">
        <f t="shared" si="4"/>
        <v>3929</v>
      </c>
    </row>
    <row r="51" spans="1:9" x14ac:dyDescent="0.2">
      <c r="A51" s="33">
        <v>1996</v>
      </c>
      <c r="B51" s="49">
        <v>239</v>
      </c>
      <c r="C51" s="49">
        <v>342</v>
      </c>
      <c r="D51" s="49">
        <f t="shared" ref="D51:D79" si="5">B51+C51</f>
        <v>581</v>
      </c>
      <c r="E51" s="49">
        <v>1296</v>
      </c>
      <c r="F51" s="49">
        <f t="shared" si="3"/>
        <v>1877</v>
      </c>
      <c r="G51" s="49">
        <v>0</v>
      </c>
      <c r="H51" s="49">
        <v>1408</v>
      </c>
      <c r="I51" s="49">
        <f t="shared" si="4"/>
        <v>3285</v>
      </c>
    </row>
    <row r="52" spans="1:9" x14ac:dyDescent="0.2">
      <c r="A52" s="33">
        <v>1997</v>
      </c>
      <c r="B52" s="49">
        <v>216</v>
      </c>
      <c r="C52" s="49">
        <v>456</v>
      </c>
      <c r="D52" s="49">
        <f t="shared" si="5"/>
        <v>672</v>
      </c>
      <c r="E52" s="49">
        <v>1481</v>
      </c>
      <c r="F52" s="49">
        <f t="shared" si="3"/>
        <v>2153</v>
      </c>
      <c r="G52" s="49">
        <v>0</v>
      </c>
      <c r="H52" s="49">
        <v>1748</v>
      </c>
      <c r="I52" s="49">
        <f t="shared" si="4"/>
        <v>3901</v>
      </c>
    </row>
    <row r="53" spans="1:9" x14ac:dyDescent="0.2">
      <c r="A53" s="33">
        <v>1998</v>
      </c>
      <c r="B53" s="49">
        <v>232</v>
      </c>
      <c r="C53" s="49">
        <v>280</v>
      </c>
      <c r="D53" s="49">
        <f t="shared" si="5"/>
        <v>512</v>
      </c>
      <c r="E53" s="49">
        <v>1634</v>
      </c>
      <c r="F53" s="49">
        <f t="shared" si="3"/>
        <v>2146</v>
      </c>
      <c r="G53" s="49">
        <v>0</v>
      </c>
      <c r="H53" s="49">
        <v>1772</v>
      </c>
      <c r="I53" s="49">
        <f t="shared" si="4"/>
        <v>3918</v>
      </c>
    </row>
    <row r="54" spans="1:9" x14ac:dyDescent="0.2">
      <c r="A54" s="33">
        <v>1999</v>
      </c>
      <c r="B54" s="49">
        <v>313</v>
      </c>
      <c r="C54" s="49">
        <v>284</v>
      </c>
      <c r="D54" s="49">
        <f t="shared" si="5"/>
        <v>597</v>
      </c>
      <c r="E54" s="49">
        <v>1948</v>
      </c>
      <c r="F54" s="49">
        <f t="shared" si="3"/>
        <v>2545</v>
      </c>
      <c r="G54" s="49">
        <v>0</v>
      </c>
      <c r="H54" s="49">
        <v>1674</v>
      </c>
      <c r="I54" s="49">
        <f t="shared" si="4"/>
        <v>4219</v>
      </c>
    </row>
    <row r="55" spans="1:9" x14ac:dyDescent="0.2">
      <c r="A55" s="33">
        <v>2000</v>
      </c>
      <c r="B55" s="49">
        <v>265</v>
      </c>
      <c r="C55" s="49">
        <v>292</v>
      </c>
      <c r="D55" s="49">
        <f t="shared" si="5"/>
        <v>557</v>
      </c>
      <c r="E55" s="49">
        <v>2012</v>
      </c>
      <c r="F55" s="49">
        <f t="shared" si="3"/>
        <v>2569</v>
      </c>
      <c r="G55" s="49">
        <v>0</v>
      </c>
      <c r="H55" s="49">
        <v>1984</v>
      </c>
      <c r="I55" s="49">
        <f>F55+G55+H55</f>
        <v>4553</v>
      </c>
    </row>
    <row r="56" spans="1:9" x14ac:dyDescent="0.2">
      <c r="A56" s="33">
        <v>2001</v>
      </c>
      <c r="B56" s="49">
        <v>249.964</v>
      </c>
      <c r="C56" s="49">
        <v>271.13299999999998</v>
      </c>
      <c r="D56" s="49">
        <f t="shared" si="5"/>
        <v>521.09699999999998</v>
      </c>
      <c r="E56" s="49">
        <v>2064.9989999999998</v>
      </c>
      <c r="F56" s="49">
        <f t="shared" si="3"/>
        <v>2586.0959999999995</v>
      </c>
      <c r="G56" s="49">
        <v>767.37</v>
      </c>
      <c r="H56" s="49">
        <v>1821.1579999999999</v>
      </c>
      <c r="I56" s="49">
        <f t="shared" si="4"/>
        <v>5174.6239999999998</v>
      </c>
    </row>
    <row r="57" spans="1:9" x14ac:dyDescent="0.2">
      <c r="A57" s="33">
        <v>2002</v>
      </c>
      <c r="B57" s="49">
        <v>353.91300000000001</v>
      </c>
      <c r="C57" s="49">
        <v>312.42</v>
      </c>
      <c r="D57" s="49">
        <f t="shared" si="5"/>
        <v>666.33300000000008</v>
      </c>
      <c r="E57" s="49">
        <v>2147.8690000000001</v>
      </c>
      <c r="F57" s="49">
        <f t="shared" si="3"/>
        <v>2814.2020000000002</v>
      </c>
      <c r="G57" s="49">
        <v>415.57</v>
      </c>
      <c r="H57" s="49">
        <v>1879.3119999999999</v>
      </c>
      <c r="I57" s="49">
        <f t="shared" si="4"/>
        <v>5109.0840000000007</v>
      </c>
    </row>
    <row r="58" spans="1:9" x14ac:dyDescent="0.2">
      <c r="A58" s="33">
        <v>2003</v>
      </c>
      <c r="B58" s="49">
        <v>355.63600000000002</v>
      </c>
      <c r="C58" s="49">
        <v>169.619</v>
      </c>
      <c r="D58" s="49">
        <f t="shared" si="5"/>
        <v>525.255</v>
      </c>
      <c r="E58" s="49">
        <v>1773.6410000000001</v>
      </c>
      <c r="F58" s="49">
        <f t="shared" si="3"/>
        <v>2298.8960000000002</v>
      </c>
      <c r="G58" s="49">
        <v>106.85299999999999</v>
      </c>
      <c r="H58" s="49">
        <v>1629.2149999999999</v>
      </c>
      <c r="I58" s="49">
        <f t="shared" si="4"/>
        <v>4034.9639999999999</v>
      </c>
    </row>
    <row r="59" spans="1:9" x14ac:dyDescent="0.2">
      <c r="A59" s="33">
        <v>2004</v>
      </c>
      <c r="B59" s="49">
        <v>343.91800000000001</v>
      </c>
      <c r="C59" s="49">
        <v>262.39100000000002</v>
      </c>
      <c r="D59" s="49">
        <f t="shared" si="5"/>
        <v>606.30899999999997</v>
      </c>
      <c r="E59" s="49">
        <v>2046.14</v>
      </c>
      <c r="F59" s="49">
        <f t="shared" si="3"/>
        <v>2652.4490000000001</v>
      </c>
      <c r="G59" s="49">
        <v>0</v>
      </c>
      <c r="H59" s="49">
        <v>2196.962</v>
      </c>
      <c r="I59" s="49">
        <f t="shared" si="4"/>
        <v>4849.4110000000001</v>
      </c>
    </row>
    <row r="60" spans="1:9" x14ac:dyDescent="0.2">
      <c r="A60" s="35">
        <v>2005</v>
      </c>
      <c r="B60" s="49">
        <v>412.15</v>
      </c>
      <c r="C60" s="49">
        <v>207.32400000000001</v>
      </c>
      <c r="D60" s="49">
        <f t="shared" si="5"/>
        <v>619.47399999999993</v>
      </c>
      <c r="E60" s="49">
        <v>1704.8409999999999</v>
      </c>
      <c r="F60" s="49">
        <f t="shared" si="3"/>
        <v>2324.3149999999996</v>
      </c>
      <c r="G60" s="49">
        <v>17.12</v>
      </c>
      <c r="H60" s="49">
        <v>2096.3539999999998</v>
      </c>
      <c r="I60" s="49">
        <f t="shared" si="4"/>
        <v>4437.7889999999989</v>
      </c>
    </row>
    <row r="61" spans="1:9" x14ac:dyDescent="0.2">
      <c r="A61" s="35">
        <v>2006</v>
      </c>
      <c r="B61" s="49">
        <v>446.26600000000002</v>
      </c>
      <c r="C61" s="49">
        <v>333.197</v>
      </c>
      <c r="D61" s="49">
        <f t="shared" si="5"/>
        <v>779.46299999999997</v>
      </c>
      <c r="E61" s="49">
        <v>1497.835</v>
      </c>
      <c r="F61" s="49">
        <f t="shared" si="3"/>
        <v>2277.2979999999998</v>
      </c>
      <c r="G61" s="49">
        <v>0</v>
      </c>
      <c r="H61" s="49">
        <v>1873.1089999999999</v>
      </c>
      <c r="I61" s="49">
        <f t="shared" si="4"/>
        <v>4150.4069999999992</v>
      </c>
    </row>
    <row r="62" spans="1:9" x14ac:dyDescent="0.2">
      <c r="A62" s="35">
        <v>2007</v>
      </c>
      <c r="B62" s="49">
        <v>405.24799999999999</v>
      </c>
      <c r="C62" s="49">
        <v>288.31299999999999</v>
      </c>
      <c r="D62" s="49">
        <f t="shared" si="5"/>
        <v>693.56099999999992</v>
      </c>
      <c r="E62" s="49">
        <v>1774.683</v>
      </c>
      <c r="F62" s="49">
        <f t="shared" si="3"/>
        <v>2468.2439999999997</v>
      </c>
      <c r="G62" s="49">
        <v>0</v>
      </c>
      <c r="H62" s="49">
        <v>2305.9479999999999</v>
      </c>
      <c r="I62" s="49">
        <f t="shared" si="4"/>
        <v>4774.1919999999991</v>
      </c>
    </row>
    <row r="63" spans="1:9" x14ac:dyDescent="0.2">
      <c r="A63" s="35">
        <v>2008</v>
      </c>
      <c r="B63" s="49">
        <v>417.97300000000001</v>
      </c>
      <c r="C63" s="49">
        <v>157.10900000000001</v>
      </c>
      <c r="D63" s="49">
        <f t="shared" si="5"/>
        <v>575.08199999999999</v>
      </c>
      <c r="E63" s="49">
        <v>1732.0260000000001</v>
      </c>
      <c r="F63" s="49">
        <f t="shared" si="3"/>
        <v>2307.1080000000002</v>
      </c>
      <c r="G63" s="49">
        <v>0</v>
      </c>
      <c r="H63" s="49">
        <v>2228.4380000000001</v>
      </c>
      <c r="I63" s="49">
        <f t="shared" si="4"/>
        <v>4535.5460000000003</v>
      </c>
    </row>
    <row r="64" spans="1:9" x14ac:dyDescent="0.2">
      <c r="A64" s="35">
        <v>2009</v>
      </c>
      <c r="B64" s="49">
        <v>536.10299999999995</v>
      </c>
      <c r="C64" s="49">
        <v>303.30799999999999</v>
      </c>
      <c r="D64" s="49">
        <f t="shared" si="5"/>
        <v>839.41099999999994</v>
      </c>
      <c r="E64" s="49">
        <v>1836.422</v>
      </c>
      <c r="F64" s="49">
        <f t="shared" si="3"/>
        <v>2675.8330000000001</v>
      </c>
      <c r="G64" s="49">
        <v>0</v>
      </c>
      <c r="H64" s="49">
        <v>1866.3209999999999</v>
      </c>
      <c r="I64" s="49">
        <f t="shared" si="4"/>
        <v>4542.1540000000005</v>
      </c>
    </row>
    <row r="65" spans="1:9" x14ac:dyDescent="0.2">
      <c r="A65" s="35">
        <v>2010</v>
      </c>
      <c r="B65" s="49">
        <v>553.84299999999996</v>
      </c>
      <c r="C65" s="49">
        <v>303.68599999999998</v>
      </c>
      <c r="D65" s="49">
        <f t="shared" si="5"/>
        <v>857.529</v>
      </c>
      <c r="E65" s="49">
        <v>1516.634</v>
      </c>
      <c r="F65" s="49">
        <f t="shared" si="3"/>
        <v>2374.163</v>
      </c>
      <c r="G65" s="49">
        <v>0</v>
      </c>
      <c r="H65" s="49">
        <v>1709.191</v>
      </c>
      <c r="I65" s="49">
        <f t="shared" si="4"/>
        <v>4083.3540000000003</v>
      </c>
    </row>
    <row r="66" spans="1:9" x14ac:dyDescent="0.2">
      <c r="A66" s="35">
        <v>2011</v>
      </c>
      <c r="B66" s="49">
        <v>472.99099999999999</v>
      </c>
      <c r="C66" s="49">
        <v>280.30399999999997</v>
      </c>
      <c r="D66" s="49">
        <f t="shared" si="5"/>
        <v>753.29499999999996</v>
      </c>
      <c r="E66" s="49">
        <v>1494</v>
      </c>
      <c r="F66" s="49">
        <f t="shared" si="3"/>
        <v>2247.2950000000001</v>
      </c>
      <c r="G66" s="49">
        <v>0</v>
      </c>
      <c r="H66" s="49">
        <v>2095.4850000000001</v>
      </c>
      <c r="I66" s="49">
        <f t="shared" si="4"/>
        <v>4342.7800000000007</v>
      </c>
    </row>
    <row r="67" spans="1:9" x14ac:dyDescent="0.2">
      <c r="A67" s="35">
        <v>2012</v>
      </c>
      <c r="B67" s="49">
        <v>347.03399999999999</v>
      </c>
      <c r="C67" s="49">
        <v>344.21600000000001</v>
      </c>
      <c r="D67" s="49">
        <f t="shared" si="5"/>
        <v>691.25</v>
      </c>
      <c r="E67" s="49">
        <v>1778.008</v>
      </c>
      <c r="F67" s="49">
        <f t="shared" si="3"/>
        <v>2469.2579999999998</v>
      </c>
      <c r="G67" s="49">
        <v>0</v>
      </c>
      <c r="H67" s="49">
        <v>2120.0189999999998</v>
      </c>
      <c r="I67" s="49">
        <f t="shared" si="4"/>
        <v>4589.277</v>
      </c>
    </row>
    <row r="68" spans="1:9" x14ac:dyDescent="0.2">
      <c r="A68" s="35">
        <v>2013</v>
      </c>
      <c r="B68" s="49">
        <v>455.68799999999999</v>
      </c>
      <c r="C68" s="49">
        <v>405.83100000000002</v>
      </c>
      <c r="D68" s="49">
        <f t="shared" si="5"/>
        <v>861.51900000000001</v>
      </c>
      <c r="E68" s="49">
        <v>1971.229</v>
      </c>
      <c r="F68" s="49">
        <f t="shared" si="3"/>
        <v>2832.748</v>
      </c>
      <c r="G68" s="49">
        <v>0</v>
      </c>
      <c r="H68" s="49">
        <v>2586.5070000000001</v>
      </c>
      <c r="I68" s="49">
        <f t="shared" si="4"/>
        <v>5419.2550000000001</v>
      </c>
    </row>
    <row r="69" spans="1:9" x14ac:dyDescent="0.2">
      <c r="A69" s="35">
        <v>2014</v>
      </c>
      <c r="B69" s="49">
        <v>447.68</v>
      </c>
      <c r="C69" s="49">
        <v>394.72</v>
      </c>
      <c r="D69" s="49">
        <f t="shared" si="5"/>
        <v>842.40000000000009</v>
      </c>
      <c r="E69" s="49">
        <v>1932.231</v>
      </c>
      <c r="F69" s="49">
        <f t="shared" si="3"/>
        <v>2774.6310000000003</v>
      </c>
      <c r="G69" s="49">
        <v>0</v>
      </c>
      <c r="H69" s="49">
        <v>1949.539</v>
      </c>
      <c r="I69" s="49">
        <f t="shared" si="4"/>
        <v>4724.17</v>
      </c>
    </row>
    <row r="70" spans="1:9" x14ac:dyDescent="0.2">
      <c r="A70" s="35">
        <v>2015</v>
      </c>
      <c r="B70" s="49">
        <v>423.65</v>
      </c>
      <c r="C70" s="49">
        <v>485.02199999999999</v>
      </c>
      <c r="D70" s="49">
        <f t="shared" si="5"/>
        <v>908.67200000000003</v>
      </c>
      <c r="E70" s="49">
        <v>1832.1320000000001</v>
      </c>
      <c r="F70" s="49">
        <f t="shared" si="3"/>
        <v>2740.8040000000001</v>
      </c>
      <c r="G70" s="49">
        <v>0</v>
      </c>
      <c r="H70" s="49">
        <v>1978.5329999999999</v>
      </c>
      <c r="I70" s="49">
        <f t="shared" si="4"/>
        <v>4719.3369999999995</v>
      </c>
    </row>
    <row r="71" spans="1:9" x14ac:dyDescent="0.2">
      <c r="A71" s="35">
        <v>2016</v>
      </c>
      <c r="B71" s="49">
        <v>442.41</v>
      </c>
      <c r="C71" s="49">
        <v>348.95299999999997</v>
      </c>
      <c r="D71" s="49">
        <f t="shared" si="5"/>
        <v>791.36300000000006</v>
      </c>
      <c r="E71" s="49">
        <v>1435.5039999999999</v>
      </c>
      <c r="F71" s="49">
        <f t="shared" si="3"/>
        <v>2226.8670000000002</v>
      </c>
      <c r="G71" s="49">
        <v>0</v>
      </c>
      <c r="H71" s="49">
        <v>2467.1729999999998</v>
      </c>
      <c r="I71" s="49">
        <f t="shared" si="4"/>
        <v>4694.04</v>
      </c>
    </row>
    <row r="72" spans="1:9" x14ac:dyDescent="0.2">
      <c r="A72" s="35">
        <v>2017</v>
      </c>
      <c r="B72" s="49">
        <v>357.52</v>
      </c>
      <c r="C72" s="49">
        <v>338.40300000000002</v>
      </c>
      <c r="D72" s="49">
        <f t="shared" si="5"/>
        <v>695.923</v>
      </c>
      <c r="E72" s="49">
        <v>1756.857</v>
      </c>
      <c r="F72" s="49">
        <f t="shared" si="3"/>
        <v>2452.7799999999997</v>
      </c>
      <c r="G72" s="49">
        <v>0</v>
      </c>
      <c r="H72" s="49">
        <v>2317.902</v>
      </c>
      <c r="I72" s="49">
        <f t="shared" si="4"/>
        <v>4770.6819999999998</v>
      </c>
    </row>
    <row r="73" spans="1:9" x14ac:dyDescent="0.2">
      <c r="A73" s="35">
        <v>2018</v>
      </c>
      <c r="B73" s="49">
        <v>324.26499999999999</v>
      </c>
      <c r="C73" s="49">
        <v>480.851</v>
      </c>
      <c r="D73" s="49">
        <f t="shared" si="5"/>
        <v>805.11599999999999</v>
      </c>
      <c r="E73" s="49">
        <v>1934.3720000000001</v>
      </c>
      <c r="F73" s="49">
        <f t="shared" si="3"/>
        <v>2739.4880000000003</v>
      </c>
      <c r="G73" s="49">
        <v>0</v>
      </c>
      <c r="H73" s="49">
        <v>2060.4430000000002</v>
      </c>
      <c r="I73" s="49">
        <f t="shared" si="4"/>
        <v>4799.9310000000005</v>
      </c>
    </row>
    <row r="74" spans="1:9" x14ac:dyDescent="0.2">
      <c r="A74" s="35">
        <v>2019</v>
      </c>
      <c r="B74" s="49">
        <v>352.77499999999998</v>
      </c>
      <c r="C74" s="49">
        <v>408.49700000000001</v>
      </c>
      <c r="D74" s="49">
        <f t="shared" si="5"/>
        <v>761.27199999999993</v>
      </c>
      <c r="E74" s="49">
        <v>1976.056</v>
      </c>
      <c r="F74" s="49">
        <f t="shared" si="3"/>
        <v>2737.328</v>
      </c>
      <c r="G74" s="49">
        <v>0</v>
      </c>
      <c r="H74" s="49">
        <v>2222.6799999999998</v>
      </c>
      <c r="I74" s="49">
        <f t="shared" si="4"/>
        <v>4960.0079999999998</v>
      </c>
    </row>
    <row r="75" spans="1:9" x14ac:dyDescent="0.2">
      <c r="A75" s="35">
        <v>2020</v>
      </c>
      <c r="B75" s="49">
        <v>340.61</v>
      </c>
      <c r="C75" s="49">
        <v>385.25200000000001</v>
      </c>
      <c r="D75" s="49">
        <f t="shared" si="5"/>
        <v>725.86200000000008</v>
      </c>
      <c r="E75" s="49">
        <v>1675.2760000000001</v>
      </c>
      <c r="F75" s="49">
        <f t="shared" si="3"/>
        <v>2401.1379999999999</v>
      </c>
      <c r="G75" s="49">
        <v>0</v>
      </c>
      <c r="H75" s="49">
        <v>1658.4</v>
      </c>
      <c r="I75" s="49">
        <f t="shared" si="4"/>
        <v>4059.538</v>
      </c>
    </row>
    <row r="76" spans="1:9" x14ac:dyDescent="0.2">
      <c r="A76" s="35">
        <v>2021</v>
      </c>
      <c r="B76" s="49">
        <v>358.72</v>
      </c>
      <c r="C76" s="49">
        <v>468.83100000000002</v>
      </c>
      <c r="D76" s="49">
        <f t="shared" si="5"/>
        <v>827.55100000000004</v>
      </c>
      <c r="E76" s="49">
        <v>1763.3989999999999</v>
      </c>
      <c r="F76" s="49">
        <f t="shared" si="3"/>
        <v>2590.9499999999998</v>
      </c>
      <c r="G76" s="49">
        <v>0</v>
      </c>
      <c r="H76" s="49">
        <v>2278.6680000000001</v>
      </c>
      <c r="I76" s="49">
        <f t="shared" si="4"/>
        <v>4869.6180000000004</v>
      </c>
    </row>
    <row r="77" spans="1:9" x14ac:dyDescent="0.2">
      <c r="A77" s="35">
        <v>2022</v>
      </c>
      <c r="B77" s="49">
        <v>327.846</v>
      </c>
      <c r="C77" s="49">
        <v>444.19499999999999</v>
      </c>
      <c r="D77" s="49">
        <f t="shared" si="5"/>
        <v>772.04099999999994</v>
      </c>
      <c r="E77" s="49">
        <v>1885.165</v>
      </c>
      <c r="F77" s="49">
        <f t="shared" si="3"/>
        <v>2657.2060000000001</v>
      </c>
      <c r="G77" s="49">
        <v>0</v>
      </c>
      <c r="H77" s="49">
        <v>2056.248</v>
      </c>
      <c r="I77" s="49">
        <f t="shared" si="4"/>
        <v>4713.4539999999997</v>
      </c>
    </row>
    <row r="78" spans="1:9" x14ac:dyDescent="0.2">
      <c r="A78" s="35">
        <v>2023</v>
      </c>
      <c r="B78" s="49">
        <v>416.67700000000002</v>
      </c>
      <c r="C78" s="49">
        <v>501.72199999999998</v>
      </c>
      <c r="D78" s="49">
        <f t="shared" si="5"/>
        <v>918.399</v>
      </c>
      <c r="E78" s="49">
        <v>1844.499</v>
      </c>
      <c r="F78" s="49">
        <f t="shared" si="3"/>
        <v>2762.8980000000001</v>
      </c>
      <c r="G78" s="49">
        <v>0</v>
      </c>
      <c r="H78" s="49">
        <v>2005.1179999999999</v>
      </c>
      <c r="I78" s="49">
        <f t="shared" si="4"/>
        <v>4768.0159999999996</v>
      </c>
    </row>
    <row r="79" spans="1:9" x14ac:dyDescent="0.2">
      <c r="A79" s="35">
        <v>2024</v>
      </c>
      <c r="B79" s="49">
        <v>454.26400000000001</v>
      </c>
      <c r="C79" s="49">
        <v>539.49099999999999</v>
      </c>
      <c r="D79" s="49">
        <f t="shared" si="5"/>
        <v>993.755</v>
      </c>
      <c r="E79" s="49">
        <v>1641.7280000000001</v>
      </c>
      <c r="F79" s="49">
        <f t="shared" si="3"/>
        <v>2635.4830000000002</v>
      </c>
      <c r="G79" s="49">
        <v>0</v>
      </c>
      <c r="H79" s="49">
        <v>2126.9459999999999</v>
      </c>
      <c r="I79" s="49">
        <f t="shared" si="4"/>
        <v>4762.4290000000001</v>
      </c>
    </row>
    <row r="80" spans="1:9" x14ac:dyDescent="0.2">
      <c r="A80" s="35"/>
    </row>
    <row r="81" spans="1:9" x14ac:dyDescent="0.2">
      <c r="A81" s="108" t="s">
        <v>31</v>
      </c>
    </row>
    <row r="82" spans="1:9" x14ac:dyDescent="0.2">
      <c r="A82" s="33">
        <v>1990</v>
      </c>
      <c r="B82" s="49">
        <v>226</v>
      </c>
      <c r="C82" s="49">
        <v>363</v>
      </c>
      <c r="D82" s="49">
        <f>B82+C82</f>
        <v>589</v>
      </c>
      <c r="E82" s="49">
        <v>600</v>
      </c>
      <c r="F82" s="49">
        <f t="shared" ref="F82:F116" si="6">D82+E82</f>
        <v>1189</v>
      </c>
      <c r="G82" s="49">
        <v>0</v>
      </c>
      <c r="H82" s="49">
        <v>924</v>
      </c>
      <c r="I82" s="49">
        <f t="shared" ref="I82:I116" si="7">F82+G82+H82</f>
        <v>2113</v>
      </c>
    </row>
    <row r="83" spans="1:9" x14ac:dyDescent="0.2">
      <c r="A83" s="33">
        <v>1991</v>
      </c>
      <c r="B83" s="49">
        <v>198</v>
      </c>
      <c r="C83" s="49">
        <v>338</v>
      </c>
      <c r="D83" s="49">
        <f>B83+C83</f>
        <v>536</v>
      </c>
      <c r="E83" s="49">
        <v>797</v>
      </c>
      <c r="F83" s="49">
        <f t="shared" si="6"/>
        <v>1333</v>
      </c>
      <c r="G83" s="49">
        <v>0</v>
      </c>
      <c r="H83" s="49">
        <v>1098</v>
      </c>
      <c r="I83" s="49">
        <f t="shared" si="7"/>
        <v>2431</v>
      </c>
    </row>
    <row r="84" spans="1:9" x14ac:dyDescent="0.2">
      <c r="A84" s="33">
        <v>1992</v>
      </c>
      <c r="B84" s="49">
        <v>235</v>
      </c>
      <c r="C84" s="49">
        <v>565</v>
      </c>
      <c r="D84" s="49">
        <f>B84+C84</f>
        <v>800</v>
      </c>
      <c r="E84" s="49">
        <v>922</v>
      </c>
      <c r="F84" s="49">
        <f t="shared" si="6"/>
        <v>1722</v>
      </c>
      <c r="G84" s="49">
        <v>0</v>
      </c>
      <c r="H84" s="49">
        <v>1037</v>
      </c>
      <c r="I84" s="49">
        <f t="shared" si="7"/>
        <v>2759</v>
      </c>
    </row>
    <row r="85" spans="1:9" x14ac:dyDescent="0.2">
      <c r="A85" s="33">
        <v>1993</v>
      </c>
      <c r="B85" s="49">
        <v>206</v>
      </c>
      <c r="C85" s="49">
        <v>524</v>
      </c>
      <c r="D85" s="49">
        <f>B85+C85</f>
        <v>730</v>
      </c>
      <c r="E85" s="49">
        <v>922</v>
      </c>
      <c r="F85" s="49">
        <f t="shared" si="6"/>
        <v>1652</v>
      </c>
      <c r="G85" s="49">
        <v>0</v>
      </c>
      <c r="H85" s="49">
        <v>1362</v>
      </c>
      <c r="I85" s="49">
        <f t="shared" si="7"/>
        <v>3014</v>
      </c>
    </row>
    <row r="86" spans="1:9" x14ac:dyDescent="0.2">
      <c r="A86" s="33">
        <v>1994</v>
      </c>
      <c r="B86" s="49">
        <v>262</v>
      </c>
      <c r="C86" s="49">
        <v>444</v>
      </c>
      <c r="D86" s="49">
        <v>707</v>
      </c>
      <c r="E86" s="49">
        <v>875</v>
      </c>
      <c r="F86" s="49">
        <f t="shared" si="6"/>
        <v>1582</v>
      </c>
      <c r="G86" s="49">
        <v>9</v>
      </c>
      <c r="H86" s="49">
        <v>1075</v>
      </c>
      <c r="I86" s="49">
        <f t="shared" si="7"/>
        <v>2666</v>
      </c>
    </row>
    <row r="87" spans="1:9" x14ac:dyDescent="0.2">
      <c r="A87" s="33">
        <v>1995</v>
      </c>
      <c r="B87" s="49">
        <v>279</v>
      </c>
      <c r="C87" s="49">
        <v>297</v>
      </c>
      <c r="D87" s="49">
        <v>576</v>
      </c>
      <c r="E87" s="49">
        <v>631</v>
      </c>
      <c r="F87" s="49">
        <f t="shared" si="6"/>
        <v>1207</v>
      </c>
      <c r="G87" s="49">
        <v>0</v>
      </c>
      <c r="H87" s="49">
        <v>1368</v>
      </c>
      <c r="I87" s="49">
        <f t="shared" si="7"/>
        <v>2575</v>
      </c>
    </row>
    <row r="88" spans="1:9" x14ac:dyDescent="0.2">
      <c r="A88" s="33">
        <v>1996</v>
      </c>
      <c r="B88" s="49">
        <v>268</v>
      </c>
      <c r="C88" s="49">
        <v>305</v>
      </c>
      <c r="D88" s="49">
        <v>573</v>
      </c>
      <c r="E88" s="49">
        <v>735</v>
      </c>
      <c r="F88" s="49">
        <f t="shared" si="6"/>
        <v>1308</v>
      </c>
      <c r="G88" s="49">
        <v>0</v>
      </c>
      <c r="H88" s="49">
        <v>977</v>
      </c>
      <c r="I88" s="49">
        <f t="shared" si="7"/>
        <v>2285</v>
      </c>
    </row>
    <row r="89" spans="1:9" x14ac:dyDescent="0.2">
      <c r="A89" s="33">
        <v>1997</v>
      </c>
      <c r="B89" s="49">
        <v>271</v>
      </c>
      <c r="C89" s="49">
        <v>384</v>
      </c>
      <c r="D89" s="49">
        <v>654</v>
      </c>
      <c r="E89" s="49">
        <v>747</v>
      </c>
      <c r="F89" s="49">
        <f t="shared" si="6"/>
        <v>1401</v>
      </c>
      <c r="G89" s="49">
        <v>0</v>
      </c>
      <c r="H89" s="49">
        <v>1333</v>
      </c>
      <c r="I89" s="49">
        <f t="shared" si="7"/>
        <v>2734</v>
      </c>
    </row>
    <row r="90" spans="1:9" x14ac:dyDescent="0.2">
      <c r="A90" s="33">
        <v>1998</v>
      </c>
      <c r="B90" s="49">
        <v>265</v>
      </c>
      <c r="C90" s="49">
        <v>299</v>
      </c>
      <c r="D90" s="49">
        <f t="shared" ref="D90:D116" si="8">B90+C90</f>
        <v>564</v>
      </c>
      <c r="E90" s="49">
        <v>1016</v>
      </c>
      <c r="F90" s="49">
        <f t="shared" si="6"/>
        <v>1580</v>
      </c>
      <c r="G90" s="49">
        <v>0</v>
      </c>
      <c r="H90" s="49">
        <v>1301</v>
      </c>
      <c r="I90" s="49">
        <f t="shared" si="7"/>
        <v>2881</v>
      </c>
    </row>
    <row r="91" spans="1:9" x14ac:dyDescent="0.2">
      <c r="A91" s="33">
        <v>1999</v>
      </c>
      <c r="B91" s="49">
        <v>330</v>
      </c>
      <c r="C91" s="49">
        <v>397</v>
      </c>
      <c r="D91" s="49">
        <f t="shared" si="8"/>
        <v>727</v>
      </c>
      <c r="E91" s="49">
        <v>1183</v>
      </c>
      <c r="F91" s="49">
        <f t="shared" si="6"/>
        <v>1910</v>
      </c>
      <c r="G91" s="49">
        <v>0</v>
      </c>
      <c r="H91" s="49">
        <v>1273</v>
      </c>
      <c r="I91" s="49">
        <f t="shared" si="7"/>
        <v>3183</v>
      </c>
    </row>
    <row r="92" spans="1:9" x14ac:dyDescent="0.2">
      <c r="A92" s="33">
        <v>2000</v>
      </c>
      <c r="B92" s="49">
        <v>310.798</v>
      </c>
      <c r="C92" s="49">
        <v>326.76900000000001</v>
      </c>
      <c r="D92" s="49">
        <f t="shared" si="8"/>
        <v>637.56700000000001</v>
      </c>
      <c r="E92" s="49">
        <v>1217.6759999999999</v>
      </c>
      <c r="F92" s="49">
        <f t="shared" si="6"/>
        <v>1855.2429999999999</v>
      </c>
      <c r="G92" s="49">
        <v>130.005</v>
      </c>
      <c r="H92" s="49">
        <v>1512.546</v>
      </c>
      <c r="I92" s="49">
        <f t="shared" si="7"/>
        <v>3497.7939999999999</v>
      </c>
    </row>
    <row r="93" spans="1:9" x14ac:dyDescent="0.2">
      <c r="A93" s="33">
        <v>2001</v>
      </c>
      <c r="B93" s="49">
        <v>254.184</v>
      </c>
      <c r="C93" s="49">
        <v>201.18199999999999</v>
      </c>
      <c r="D93" s="49">
        <f t="shared" si="8"/>
        <v>455.36599999999999</v>
      </c>
      <c r="E93" s="49">
        <v>1216.796</v>
      </c>
      <c r="F93" s="49">
        <f t="shared" si="6"/>
        <v>1672.162</v>
      </c>
      <c r="G93" s="49">
        <v>764.06500000000005</v>
      </c>
      <c r="H93" s="49">
        <v>1269.4590000000001</v>
      </c>
      <c r="I93" s="49">
        <f t="shared" si="7"/>
        <v>3705.6859999999997</v>
      </c>
    </row>
    <row r="94" spans="1:9" x14ac:dyDescent="0.2">
      <c r="A94" s="33">
        <v>2002</v>
      </c>
      <c r="B94" s="49">
        <v>356.13</v>
      </c>
      <c r="C94" s="49">
        <v>333.28399999999999</v>
      </c>
      <c r="D94" s="49">
        <f t="shared" si="8"/>
        <v>689.41399999999999</v>
      </c>
      <c r="E94" s="49">
        <v>1196.9059999999999</v>
      </c>
      <c r="F94" s="49">
        <f t="shared" si="6"/>
        <v>1886.32</v>
      </c>
      <c r="G94" s="49">
        <v>304.05399999999997</v>
      </c>
      <c r="H94" s="49">
        <v>1215.576</v>
      </c>
      <c r="I94" s="49">
        <f t="shared" si="7"/>
        <v>3405.95</v>
      </c>
    </row>
    <row r="95" spans="1:9" x14ac:dyDescent="0.2">
      <c r="A95" s="33">
        <v>2003</v>
      </c>
      <c r="B95" s="49">
        <v>366.60700000000003</v>
      </c>
      <c r="C95" s="49">
        <v>261.37599999999998</v>
      </c>
      <c r="D95" s="49">
        <f t="shared" si="8"/>
        <v>627.98299999999995</v>
      </c>
      <c r="E95" s="49">
        <v>1103.3050000000001</v>
      </c>
      <c r="F95" s="49">
        <f t="shared" si="6"/>
        <v>1731.288</v>
      </c>
      <c r="G95" s="49">
        <v>77.492000000000004</v>
      </c>
      <c r="H95" s="49">
        <v>1208.2840000000001</v>
      </c>
      <c r="I95" s="49">
        <f t="shared" si="7"/>
        <v>3017.0640000000003</v>
      </c>
    </row>
    <row r="96" spans="1:9" x14ac:dyDescent="0.2">
      <c r="A96" s="33">
        <v>2004</v>
      </c>
      <c r="B96" s="49">
        <v>369.74</v>
      </c>
      <c r="C96" s="49">
        <v>283.505</v>
      </c>
      <c r="D96" s="49">
        <f t="shared" si="8"/>
        <v>653.245</v>
      </c>
      <c r="E96" s="49">
        <v>1260.655</v>
      </c>
      <c r="F96" s="49">
        <f t="shared" si="6"/>
        <v>1913.9</v>
      </c>
      <c r="G96" s="49">
        <v>0</v>
      </c>
      <c r="H96" s="49">
        <v>1551.5709999999999</v>
      </c>
      <c r="I96" s="49">
        <f t="shared" si="7"/>
        <v>3465.471</v>
      </c>
    </row>
    <row r="97" spans="1:9" x14ac:dyDescent="0.2">
      <c r="A97" s="33">
        <v>2005</v>
      </c>
      <c r="B97" s="49">
        <v>377.524</v>
      </c>
      <c r="C97" s="49">
        <v>177.79300000000001</v>
      </c>
      <c r="D97" s="49">
        <f t="shared" si="8"/>
        <v>555.31700000000001</v>
      </c>
      <c r="E97" s="49">
        <v>901.48299999999995</v>
      </c>
      <c r="F97" s="49">
        <f t="shared" si="6"/>
        <v>1456.8</v>
      </c>
      <c r="G97" s="49">
        <v>0</v>
      </c>
      <c r="H97" s="49">
        <v>1469.075</v>
      </c>
      <c r="I97" s="49">
        <f t="shared" si="7"/>
        <v>2925.875</v>
      </c>
    </row>
    <row r="98" spans="1:9" x14ac:dyDescent="0.2">
      <c r="A98" s="33">
        <v>2006</v>
      </c>
      <c r="B98" s="49">
        <v>583.99800000000005</v>
      </c>
      <c r="C98" s="49">
        <v>361.37599999999998</v>
      </c>
      <c r="D98" s="49">
        <f t="shared" si="8"/>
        <v>945.37400000000002</v>
      </c>
      <c r="E98" s="49">
        <v>894.76199999999994</v>
      </c>
      <c r="F98" s="49">
        <f t="shared" si="6"/>
        <v>1840.136</v>
      </c>
      <c r="G98" s="49">
        <v>0</v>
      </c>
      <c r="H98" s="49">
        <v>1232.248</v>
      </c>
      <c r="I98" s="49">
        <f t="shared" si="7"/>
        <v>3072.384</v>
      </c>
    </row>
    <row r="99" spans="1:9" x14ac:dyDescent="0.2">
      <c r="A99" s="33">
        <v>2007</v>
      </c>
      <c r="B99" s="49">
        <v>388.613</v>
      </c>
      <c r="C99" s="49">
        <v>285.89100000000002</v>
      </c>
      <c r="D99" s="49">
        <f t="shared" si="8"/>
        <v>674.50400000000002</v>
      </c>
      <c r="E99" s="49">
        <v>1011.345</v>
      </c>
      <c r="F99" s="49">
        <f t="shared" si="6"/>
        <v>1685.8490000000002</v>
      </c>
      <c r="G99" s="49">
        <v>0</v>
      </c>
      <c r="H99" s="49">
        <v>1686.2090000000001</v>
      </c>
      <c r="I99" s="49">
        <f t="shared" si="7"/>
        <v>3372.058</v>
      </c>
    </row>
    <row r="100" spans="1:9" x14ac:dyDescent="0.2">
      <c r="A100" s="33">
        <v>2008</v>
      </c>
      <c r="B100" s="49">
        <v>452.92399999999998</v>
      </c>
      <c r="C100" s="49">
        <v>223.69399999999999</v>
      </c>
      <c r="D100" s="49">
        <f t="shared" si="8"/>
        <v>676.61799999999994</v>
      </c>
      <c r="E100" s="49">
        <v>1105.7570000000001</v>
      </c>
      <c r="F100" s="49">
        <f t="shared" si="6"/>
        <v>1782.375</v>
      </c>
      <c r="G100" s="49">
        <v>0</v>
      </c>
      <c r="H100" s="49">
        <v>1587.7470000000001</v>
      </c>
      <c r="I100" s="49">
        <f t="shared" si="7"/>
        <v>3370.1220000000003</v>
      </c>
    </row>
    <row r="101" spans="1:9" x14ac:dyDescent="0.2">
      <c r="A101" s="33">
        <v>2009</v>
      </c>
      <c r="B101" s="49">
        <v>527.27</v>
      </c>
      <c r="C101" s="49">
        <v>383.46</v>
      </c>
      <c r="D101" s="49">
        <f t="shared" si="8"/>
        <v>910.73</v>
      </c>
      <c r="E101" s="49">
        <v>1100.2860000000001</v>
      </c>
      <c r="F101" s="49">
        <f t="shared" si="6"/>
        <v>2011.0160000000001</v>
      </c>
      <c r="G101" s="49">
        <v>0</v>
      </c>
      <c r="H101" s="49">
        <v>1295.979</v>
      </c>
      <c r="I101" s="49">
        <f t="shared" si="7"/>
        <v>3306.9949999999999</v>
      </c>
    </row>
    <row r="102" spans="1:9" x14ac:dyDescent="0.2">
      <c r="A102" s="33">
        <v>2010</v>
      </c>
      <c r="B102" s="49">
        <v>530.24800000000005</v>
      </c>
      <c r="C102" s="49">
        <v>248.078</v>
      </c>
      <c r="D102" s="49">
        <f t="shared" si="8"/>
        <v>778.32600000000002</v>
      </c>
      <c r="E102" s="49">
        <v>747.03099999999995</v>
      </c>
      <c r="F102" s="49">
        <f t="shared" si="6"/>
        <v>1525.357</v>
      </c>
      <c r="G102" s="49">
        <v>0</v>
      </c>
      <c r="H102" s="49">
        <v>1036.6600000000001</v>
      </c>
      <c r="I102" s="49">
        <f t="shared" si="7"/>
        <v>2562.0169999999998</v>
      </c>
    </row>
    <row r="103" spans="1:9" x14ac:dyDescent="0.2">
      <c r="A103" s="33">
        <v>2011</v>
      </c>
      <c r="B103" s="49">
        <v>460.44600000000003</v>
      </c>
      <c r="C103" s="49">
        <v>258.11</v>
      </c>
      <c r="D103" s="49">
        <f t="shared" si="8"/>
        <v>718.55600000000004</v>
      </c>
      <c r="E103" s="49">
        <v>886.55799999999999</v>
      </c>
      <c r="F103" s="49">
        <f t="shared" si="6"/>
        <v>1605.114</v>
      </c>
      <c r="G103" s="49">
        <v>0</v>
      </c>
      <c r="H103" s="49">
        <v>1390.0340000000001</v>
      </c>
      <c r="I103" s="49">
        <f t="shared" si="7"/>
        <v>2995.1480000000001</v>
      </c>
    </row>
    <row r="104" spans="1:9" x14ac:dyDescent="0.2">
      <c r="A104" s="35">
        <v>2012</v>
      </c>
      <c r="B104" s="49">
        <v>352.35399999999998</v>
      </c>
      <c r="C104" s="49">
        <v>460.83</v>
      </c>
      <c r="D104" s="49">
        <f t="shared" si="8"/>
        <v>813.18399999999997</v>
      </c>
      <c r="E104" s="49">
        <v>1005.407</v>
      </c>
      <c r="F104" s="49">
        <f t="shared" si="6"/>
        <v>1818.5909999999999</v>
      </c>
      <c r="G104" s="49">
        <v>0</v>
      </c>
      <c r="H104" s="49">
        <v>1306.9849999999999</v>
      </c>
      <c r="I104" s="49">
        <f t="shared" si="7"/>
        <v>3125.576</v>
      </c>
    </row>
    <row r="105" spans="1:9" x14ac:dyDescent="0.2">
      <c r="A105" s="35">
        <v>2013</v>
      </c>
      <c r="B105" s="49">
        <v>437.08199999999999</v>
      </c>
      <c r="C105" s="49">
        <v>442.47199999999998</v>
      </c>
      <c r="D105" s="49">
        <f t="shared" si="8"/>
        <v>879.55399999999997</v>
      </c>
      <c r="E105" s="49">
        <v>1191.6089999999999</v>
      </c>
      <c r="F105" s="49">
        <f t="shared" si="6"/>
        <v>2071.163</v>
      </c>
      <c r="G105" s="49">
        <v>0</v>
      </c>
      <c r="H105" s="49">
        <v>2008.1890000000001</v>
      </c>
      <c r="I105" s="49">
        <f t="shared" si="7"/>
        <v>4079.3519999999999</v>
      </c>
    </row>
    <row r="106" spans="1:9" x14ac:dyDescent="0.2">
      <c r="A106" s="35">
        <v>2014</v>
      </c>
      <c r="B106" s="49">
        <v>408.59</v>
      </c>
      <c r="C106" s="49">
        <v>595.96699999999998</v>
      </c>
      <c r="D106" s="49">
        <f t="shared" si="8"/>
        <v>1004.557</v>
      </c>
      <c r="E106" s="49">
        <v>1139.646</v>
      </c>
      <c r="F106" s="49">
        <f t="shared" si="6"/>
        <v>2144.203</v>
      </c>
      <c r="G106" s="49">
        <v>0</v>
      </c>
      <c r="H106" s="49">
        <v>1325.2329999999999</v>
      </c>
      <c r="I106" s="49">
        <f t="shared" si="7"/>
        <v>3469.4359999999997</v>
      </c>
    </row>
    <row r="107" spans="1:9" x14ac:dyDescent="0.2">
      <c r="A107" s="35">
        <v>2015</v>
      </c>
      <c r="B107" s="49">
        <v>382.875</v>
      </c>
      <c r="C107" s="49">
        <v>478.08199999999999</v>
      </c>
      <c r="D107" s="49">
        <f t="shared" si="8"/>
        <v>860.95699999999999</v>
      </c>
      <c r="E107" s="49">
        <v>1031.912</v>
      </c>
      <c r="F107" s="49">
        <f t="shared" si="6"/>
        <v>1892.8690000000001</v>
      </c>
      <c r="G107" s="49">
        <v>0</v>
      </c>
      <c r="H107" s="49">
        <v>1155.797</v>
      </c>
      <c r="I107" s="49">
        <f t="shared" si="7"/>
        <v>3048.6660000000002</v>
      </c>
    </row>
    <row r="108" spans="1:9" x14ac:dyDescent="0.2">
      <c r="A108" s="35">
        <v>2016</v>
      </c>
      <c r="B108" s="49">
        <v>443.66300000000001</v>
      </c>
      <c r="C108" s="49">
        <v>388.19299999999998</v>
      </c>
      <c r="D108" s="49">
        <f t="shared" si="8"/>
        <v>831.85599999999999</v>
      </c>
      <c r="E108" s="49">
        <v>1028.375</v>
      </c>
      <c r="F108" s="49">
        <f t="shared" si="6"/>
        <v>1860.231</v>
      </c>
      <c r="G108" s="49">
        <v>0</v>
      </c>
      <c r="H108" s="49">
        <v>1838.8689999999999</v>
      </c>
      <c r="I108" s="49">
        <f t="shared" si="7"/>
        <v>3699.1</v>
      </c>
    </row>
    <row r="109" spans="1:9" x14ac:dyDescent="0.2">
      <c r="A109" s="35">
        <v>2017</v>
      </c>
      <c r="B109" s="49">
        <v>361.125</v>
      </c>
      <c r="C109" s="49">
        <v>467.05900000000003</v>
      </c>
      <c r="D109" s="49">
        <f t="shared" si="8"/>
        <v>828.18399999999997</v>
      </c>
      <c r="E109" s="49">
        <v>1046.83</v>
      </c>
      <c r="F109" s="49">
        <f t="shared" si="6"/>
        <v>1875.0139999999999</v>
      </c>
      <c r="G109" s="49">
        <v>0</v>
      </c>
      <c r="H109" s="49">
        <v>1534.68</v>
      </c>
      <c r="I109" s="49">
        <f t="shared" si="7"/>
        <v>3409.694</v>
      </c>
    </row>
    <row r="110" spans="1:9" x14ac:dyDescent="0.2">
      <c r="A110" s="35">
        <v>2018</v>
      </c>
      <c r="B110" s="49">
        <v>328.79199999999997</v>
      </c>
      <c r="C110" s="49">
        <v>637.72</v>
      </c>
      <c r="D110" s="49">
        <f t="shared" si="8"/>
        <v>966.51199999999994</v>
      </c>
      <c r="E110" s="49">
        <v>1233.973</v>
      </c>
      <c r="F110" s="49">
        <f t="shared" si="6"/>
        <v>2200.4849999999997</v>
      </c>
      <c r="G110" s="49">
        <v>0</v>
      </c>
      <c r="H110" s="49">
        <v>1514.8979999999999</v>
      </c>
      <c r="I110" s="49">
        <f t="shared" si="7"/>
        <v>3715.3829999999998</v>
      </c>
    </row>
    <row r="111" spans="1:9" x14ac:dyDescent="0.2">
      <c r="A111" s="35">
        <v>2019</v>
      </c>
      <c r="B111" s="49">
        <v>341.94600000000003</v>
      </c>
      <c r="C111" s="49">
        <v>481.54700000000003</v>
      </c>
      <c r="D111" s="49">
        <f t="shared" si="8"/>
        <v>823.49300000000005</v>
      </c>
      <c r="E111" s="49">
        <v>1250.2159999999999</v>
      </c>
      <c r="F111" s="49">
        <f t="shared" si="6"/>
        <v>2073.7089999999998</v>
      </c>
      <c r="G111" s="49">
        <v>0</v>
      </c>
      <c r="H111" s="49">
        <v>1454.001</v>
      </c>
      <c r="I111" s="49">
        <f t="shared" si="7"/>
        <v>3527.71</v>
      </c>
    </row>
    <row r="112" spans="1:9" x14ac:dyDescent="0.2">
      <c r="A112" s="35">
        <v>2020</v>
      </c>
      <c r="B112" s="49">
        <v>388.71</v>
      </c>
      <c r="C112" s="49">
        <v>470.4</v>
      </c>
      <c r="D112" s="49">
        <f t="shared" si="8"/>
        <v>859.1099999999999</v>
      </c>
      <c r="E112" s="49">
        <v>988.02800000000002</v>
      </c>
      <c r="F112" s="49">
        <f t="shared" si="6"/>
        <v>1847.1379999999999</v>
      </c>
      <c r="G112" s="49">
        <v>0</v>
      </c>
      <c r="H112" s="49">
        <v>1001.138</v>
      </c>
      <c r="I112" s="49">
        <f t="shared" si="7"/>
        <v>2848.2759999999998</v>
      </c>
    </row>
    <row r="113" spans="1:9" x14ac:dyDescent="0.2">
      <c r="A113" s="35">
        <v>2021</v>
      </c>
      <c r="B113" s="49">
        <v>358.16</v>
      </c>
      <c r="C113" s="49">
        <v>439.15499999999997</v>
      </c>
      <c r="D113" s="49">
        <f t="shared" si="8"/>
        <v>797.31500000000005</v>
      </c>
      <c r="E113" s="49">
        <v>1214.9469999999999</v>
      </c>
      <c r="F113" s="49">
        <f t="shared" si="6"/>
        <v>2012.2619999999999</v>
      </c>
      <c r="G113" s="49">
        <v>0</v>
      </c>
      <c r="H113" s="49">
        <v>1379.299</v>
      </c>
      <c r="I113" s="49">
        <f t="shared" si="7"/>
        <v>3391.5609999999997</v>
      </c>
    </row>
    <row r="114" spans="1:9" x14ac:dyDescent="0.2">
      <c r="A114" s="35">
        <v>2022</v>
      </c>
      <c r="B114" s="49">
        <v>348.90199999999999</v>
      </c>
      <c r="C114" s="49">
        <v>539.30600000000004</v>
      </c>
      <c r="D114" s="49">
        <f t="shared" si="8"/>
        <v>888.20800000000008</v>
      </c>
      <c r="E114" s="49">
        <v>1138.1010000000001</v>
      </c>
      <c r="F114" s="49">
        <f t="shared" si="6"/>
        <v>2026.3090000000002</v>
      </c>
      <c r="G114" s="49">
        <v>0</v>
      </c>
      <c r="H114" s="49">
        <v>1386.998</v>
      </c>
      <c r="I114" s="49">
        <f t="shared" si="7"/>
        <v>3413.3070000000002</v>
      </c>
    </row>
    <row r="115" spans="1:9" x14ac:dyDescent="0.2">
      <c r="A115" s="35">
        <v>2023</v>
      </c>
      <c r="B115" s="49">
        <v>397.488</v>
      </c>
      <c r="C115" s="49">
        <v>557.99400000000003</v>
      </c>
      <c r="D115" s="49">
        <f t="shared" si="8"/>
        <v>955.48199999999997</v>
      </c>
      <c r="E115" s="49">
        <v>1133.3219999999999</v>
      </c>
      <c r="F115" s="49">
        <f t="shared" si="6"/>
        <v>2088.8040000000001</v>
      </c>
      <c r="G115" s="49">
        <v>0</v>
      </c>
      <c r="H115" s="49">
        <v>1423.34</v>
      </c>
      <c r="I115" s="49">
        <f t="shared" si="7"/>
        <v>3512.1440000000002</v>
      </c>
    </row>
    <row r="116" spans="1:9" x14ac:dyDescent="0.2">
      <c r="A116" s="35">
        <v>2024</v>
      </c>
      <c r="B116" s="49">
        <v>429.904</v>
      </c>
      <c r="C116" s="49">
        <v>617.42399999999998</v>
      </c>
      <c r="D116" s="49">
        <f t="shared" si="8"/>
        <v>1047.328</v>
      </c>
      <c r="E116" s="49">
        <v>1109.2190000000001</v>
      </c>
      <c r="F116" s="49">
        <f t="shared" si="6"/>
        <v>2156.547</v>
      </c>
      <c r="G116" s="49">
        <v>0</v>
      </c>
      <c r="H116" s="49">
        <v>1492.3230000000001</v>
      </c>
      <c r="I116" s="49">
        <f t="shared" si="7"/>
        <v>3648.87</v>
      </c>
    </row>
    <row r="117" spans="1:9" x14ac:dyDescent="0.2">
      <c r="A117" s="35"/>
    </row>
    <row r="118" spans="1:9" x14ac:dyDescent="0.2">
      <c r="A118" s="108" t="s">
        <v>32</v>
      </c>
    </row>
    <row r="119" spans="1:9" x14ac:dyDescent="0.2">
      <c r="A119" s="33">
        <v>1990</v>
      </c>
      <c r="B119" s="49">
        <v>215</v>
      </c>
      <c r="C119" s="49">
        <v>332</v>
      </c>
      <c r="D119" s="49">
        <f>B119+C119</f>
        <v>547</v>
      </c>
      <c r="E119" s="49">
        <v>205</v>
      </c>
      <c r="F119" s="49">
        <f>D119+E119</f>
        <v>752</v>
      </c>
      <c r="G119" s="49">
        <v>0</v>
      </c>
      <c r="H119" s="49">
        <v>396</v>
      </c>
      <c r="I119" s="49">
        <f t="shared" ref="I119:I153" si="9">F119+G119+H119</f>
        <v>1148</v>
      </c>
    </row>
    <row r="120" spans="1:9" x14ac:dyDescent="0.2">
      <c r="A120" s="33">
        <v>1991</v>
      </c>
      <c r="B120" s="49">
        <v>212</v>
      </c>
      <c r="C120" s="49">
        <v>380</v>
      </c>
      <c r="D120" s="49">
        <v>592</v>
      </c>
      <c r="E120" s="49">
        <v>367</v>
      </c>
      <c r="F120" s="49">
        <v>944</v>
      </c>
      <c r="G120" s="49">
        <v>0</v>
      </c>
      <c r="H120" s="49">
        <v>437</v>
      </c>
      <c r="I120" s="49">
        <f t="shared" si="9"/>
        <v>1381</v>
      </c>
    </row>
    <row r="121" spans="1:9" x14ac:dyDescent="0.2">
      <c r="A121" s="33">
        <v>1992</v>
      </c>
      <c r="B121" s="49">
        <v>239</v>
      </c>
      <c r="C121" s="49">
        <v>378</v>
      </c>
      <c r="D121" s="49">
        <v>617</v>
      </c>
      <c r="E121" s="49">
        <v>368</v>
      </c>
      <c r="F121" s="49">
        <f t="shared" ref="F121:F153" si="10">D121+E121</f>
        <v>985</v>
      </c>
      <c r="G121" s="49">
        <v>0</v>
      </c>
      <c r="H121" s="49">
        <v>465</v>
      </c>
      <c r="I121" s="49">
        <f t="shared" si="9"/>
        <v>1450</v>
      </c>
    </row>
    <row r="122" spans="1:9" x14ac:dyDescent="0.2">
      <c r="A122" s="33">
        <v>1993</v>
      </c>
      <c r="B122" s="49">
        <v>279</v>
      </c>
      <c r="C122" s="49">
        <v>331</v>
      </c>
      <c r="D122" s="49">
        <v>610</v>
      </c>
      <c r="E122" s="49">
        <v>380</v>
      </c>
      <c r="F122" s="49">
        <f t="shared" si="10"/>
        <v>990</v>
      </c>
      <c r="G122" s="49">
        <v>0</v>
      </c>
      <c r="H122" s="49">
        <v>714</v>
      </c>
      <c r="I122" s="49">
        <f t="shared" si="9"/>
        <v>1704</v>
      </c>
    </row>
    <row r="123" spans="1:9" x14ac:dyDescent="0.2">
      <c r="A123" s="33">
        <v>1994</v>
      </c>
      <c r="B123" s="49">
        <v>263</v>
      </c>
      <c r="C123" s="49">
        <v>288</v>
      </c>
      <c r="D123" s="49">
        <v>551</v>
      </c>
      <c r="E123" s="49">
        <v>346</v>
      </c>
      <c r="F123" s="49">
        <f t="shared" si="10"/>
        <v>897</v>
      </c>
      <c r="G123" s="49">
        <v>6</v>
      </c>
      <c r="H123" s="49">
        <v>434</v>
      </c>
      <c r="I123" s="49">
        <f t="shared" si="9"/>
        <v>1337</v>
      </c>
    </row>
    <row r="124" spans="1:9" x14ac:dyDescent="0.2">
      <c r="A124" s="33">
        <v>1995</v>
      </c>
      <c r="B124" s="49">
        <v>223.8</v>
      </c>
      <c r="C124" s="49">
        <v>281.017</v>
      </c>
      <c r="D124" s="49">
        <f t="shared" ref="D124:D129" si="11">C124+B124</f>
        <v>504.81700000000001</v>
      </c>
      <c r="E124" s="49">
        <v>214.78200000000001</v>
      </c>
      <c r="F124" s="49">
        <f t="shared" si="10"/>
        <v>719.59900000000005</v>
      </c>
      <c r="G124" s="49">
        <v>0</v>
      </c>
      <c r="H124" s="49">
        <v>521.50099999999998</v>
      </c>
      <c r="I124" s="49">
        <f t="shared" si="9"/>
        <v>1241.0999999999999</v>
      </c>
    </row>
    <row r="125" spans="1:9" x14ac:dyDescent="0.2">
      <c r="A125" s="33">
        <v>1996</v>
      </c>
      <c r="B125" s="49">
        <v>247.32</v>
      </c>
      <c r="C125" s="49">
        <v>424.23200000000003</v>
      </c>
      <c r="D125" s="49">
        <f t="shared" si="11"/>
        <v>671.55200000000002</v>
      </c>
      <c r="E125" s="49">
        <v>288.77999999999997</v>
      </c>
      <c r="F125" s="49">
        <f t="shared" si="10"/>
        <v>960.33199999999999</v>
      </c>
      <c r="G125" s="49">
        <v>0</v>
      </c>
      <c r="H125" s="49">
        <v>429.81799999999998</v>
      </c>
      <c r="I125" s="49">
        <f t="shared" si="9"/>
        <v>1390.15</v>
      </c>
    </row>
    <row r="126" spans="1:9" x14ac:dyDescent="0.2">
      <c r="A126" s="33">
        <v>1997</v>
      </c>
      <c r="B126" s="49">
        <v>274.149</v>
      </c>
      <c r="C126" s="49">
        <v>344.93</v>
      </c>
      <c r="D126" s="49">
        <f t="shared" si="11"/>
        <v>619.07899999999995</v>
      </c>
      <c r="E126" s="49">
        <v>277.32299999999998</v>
      </c>
      <c r="F126" s="49">
        <f t="shared" si="10"/>
        <v>896.40199999999993</v>
      </c>
      <c r="G126" s="49">
        <v>0</v>
      </c>
      <c r="H126" s="49">
        <v>590.39700000000005</v>
      </c>
      <c r="I126" s="49">
        <f t="shared" si="9"/>
        <v>1486.799</v>
      </c>
    </row>
    <row r="127" spans="1:9" x14ac:dyDescent="0.2">
      <c r="A127" s="33">
        <v>1998</v>
      </c>
      <c r="B127" s="49">
        <v>269.77699999999999</v>
      </c>
      <c r="C127" s="49">
        <v>360.00299999999999</v>
      </c>
      <c r="D127" s="49">
        <f t="shared" si="11"/>
        <v>629.78</v>
      </c>
      <c r="E127" s="49">
        <v>363.18400000000003</v>
      </c>
      <c r="F127" s="49">
        <f t="shared" si="10"/>
        <v>992.96399999999994</v>
      </c>
      <c r="G127" s="49">
        <v>0</v>
      </c>
      <c r="H127" s="49">
        <v>686.21699999999998</v>
      </c>
      <c r="I127" s="49">
        <f t="shared" si="9"/>
        <v>1679.181</v>
      </c>
    </row>
    <row r="128" spans="1:9" x14ac:dyDescent="0.2">
      <c r="A128" s="33">
        <v>1999</v>
      </c>
      <c r="B128" s="49">
        <v>244.983</v>
      </c>
      <c r="C128" s="49">
        <v>372.13499999999999</v>
      </c>
      <c r="D128" s="49">
        <f t="shared" si="11"/>
        <v>617.11799999999994</v>
      </c>
      <c r="E128" s="49">
        <v>446.84899999999999</v>
      </c>
      <c r="F128" s="49">
        <f t="shared" si="10"/>
        <v>1063.9669999999999</v>
      </c>
      <c r="G128" s="49">
        <v>0</v>
      </c>
      <c r="H128" s="49">
        <v>574.85</v>
      </c>
      <c r="I128" s="49">
        <f t="shared" si="9"/>
        <v>1638.817</v>
      </c>
    </row>
    <row r="129" spans="1:23" x14ac:dyDescent="0.2">
      <c r="A129" s="33">
        <v>2000</v>
      </c>
      <c r="B129" s="49">
        <v>234.792</v>
      </c>
      <c r="C129" s="49">
        <v>283.95400000000001</v>
      </c>
      <c r="D129" s="49">
        <f t="shared" si="11"/>
        <v>518.74599999999998</v>
      </c>
      <c r="E129" s="49">
        <v>577.35900000000004</v>
      </c>
      <c r="F129" s="49">
        <f t="shared" si="10"/>
        <v>1096.105</v>
      </c>
      <c r="G129" s="49">
        <v>282.90600000000001</v>
      </c>
      <c r="H129" s="49">
        <v>837.10900000000004</v>
      </c>
      <c r="I129" s="49">
        <f t="shared" si="9"/>
        <v>2216.12</v>
      </c>
    </row>
    <row r="130" spans="1:23" x14ac:dyDescent="0.2">
      <c r="A130" s="33">
        <v>2001</v>
      </c>
      <c r="B130" s="49">
        <v>236.75299999999999</v>
      </c>
      <c r="C130" s="49">
        <v>197.83500000000001</v>
      </c>
      <c r="D130" s="49">
        <f t="shared" ref="D130:D150" si="12">B130+C130</f>
        <v>434.58799999999997</v>
      </c>
      <c r="E130" s="49">
        <v>540.73400000000004</v>
      </c>
      <c r="F130" s="49">
        <f t="shared" si="10"/>
        <v>975.322</v>
      </c>
      <c r="G130" s="49">
        <v>752.62099999999998</v>
      </c>
      <c r="H130" s="49">
        <v>451.73500000000001</v>
      </c>
      <c r="I130" s="49">
        <f t="shared" si="9"/>
        <v>2179.6779999999999</v>
      </c>
    </row>
    <row r="131" spans="1:23" x14ac:dyDescent="0.2">
      <c r="A131" s="33">
        <v>2002</v>
      </c>
      <c r="B131" s="49">
        <v>333.86599999999999</v>
      </c>
      <c r="C131" s="49">
        <v>359.38600000000002</v>
      </c>
      <c r="D131" s="49">
        <f t="shared" si="12"/>
        <v>693.25199999999995</v>
      </c>
      <c r="E131" s="49">
        <v>106.02800000000001</v>
      </c>
      <c r="F131" s="49">
        <f t="shared" si="10"/>
        <v>799.28</v>
      </c>
      <c r="G131" s="49">
        <v>261.87400000000002</v>
      </c>
      <c r="H131" s="49">
        <f>357.674+108.955</f>
        <v>466.62899999999996</v>
      </c>
      <c r="I131" s="49">
        <f t="shared" si="9"/>
        <v>1527.7829999999999</v>
      </c>
    </row>
    <row r="132" spans="1:23" x14ac:dyDescent="0.2">
      <c r="A132" s="33">
        <v>2003</v>
      </c>
      <c r="B132" s="49">
        <v>375.649</v>
      </c>
      <c r="C132" s="49">
        <v>455.31200000000001</v>
      </c>
      <c r="D132" s="49">
        <f t="shared" si="12"/>
        <v>830.96100000000001</v>
      </c>
      <c r="E132" s="49">
        <v>155.339</v>
      </c>
      <c r="F132" s="49">
        <f t="shared" si="10"/>
        <v>986.3</v>
      </c>
      <c r="G132" s="49">
        <v>0</v>
      </c>
      <c r="H132" s="49">
        <f>311.917+371.824</f>
        <v>683.74099999999999</v>
      </c>
      <c r="I132" s="49">
        <f t="shared" si="9"/>
        <v>1670.0409999999999</v>
      </c>
    </row>
    <row r="133" spans="1:23" x14ac:dyDescent="0.2">
      <c r="A133" s="35">
        <v>2004</v>
      </c>
      <c r="B133" s="49">
        <v>384.512</v>
      </c>
      <c r="C133" s="49">
        <v>429.87900000000002</v>
      </c>
      <c r="D133" s="49">
        <f t="shared" si="12"/>
        <v>814.39100000000008</v>
      </c>
      <c r="E133" s="49">
        <v>362.82499999999999</v>
      </c>
      <c r="F133" s="49">
        <f t="shared" si="10"/>
        <v>1177.2160000000001</v>
      </c>
      <c r="G133" s="49">
        <v>17.12</v>
      </c>
      <c r="H133" s="49">
        <f>521.588-17.12+198.527</f>
        <v>702.99499999999989</v>
      </c>
      <c r="I133" s="49">
        <f t="shared" si="9"/>
        <v>1897.3309999999999</v>
      </c>
      <c r="L133" s="109"/>
    </row>
    <row r="134" spans="1:23" x14ac:dyDescent="0.2">
      <c r="A134" s="35">
        <v>2005</v>
      </c>
      <c r="B134" s="49">
        <v>353.31900000000002</v>
      </c>
      <c r="C134" s="49">
        <v>343.53800000000001</v>
      </c>
      <c r="D134" s="49">
        <f t="shared" si="12"/>
        <v>696.85699999999997</v>
      </c>
      <c r="E134" s="49">
        <v>57.384</v>
      </c>
      <c r="F134" s="49">
        <f t="shared" si="10"/>
        <v>754.24099999999999</v>
      </c>
      <c r="G134" s="49">
        <v>0</v>
      </c>
      <c r="H134" s="49">
        <v>577.40800000000002</v>
      </c>
      <c r="I134" s="49">
        <f t="shared" si="9"/>
        <v>1331.6489999999999</v>
      </c>
    </row>
    <row r="135" spans="1:23" x14ac:dyDescent="0.2">
      <c r="A135" s="35">
        <v>2006</v>
      </c>
      <c r="B135" s="49">
        <v>529.40300000000002</v>
      </c>
      <c r="C135" s="49">
        <v>449.20299999999997</v>
      </c>
      <c r="D135" s="49">
        <f t="shared" si="12"/>
        <v>978.60599999999999</v>
      </c>
      <c r="E135" s="49">
        <v>55.746000000000002</v>
      </c>
      <c r="F135" s="49">
        <f t="shared" si="10"/>
        <v>1034.3520000000001</v>
      </c>
      <c r="G135" s="49">
        <v>0</v>
      </c>
      <c r="H135" s="49">
        <v>663.17399999999998</v>
      </c>
      <c r="I135" s="49">
        <f t="shared" si="9"/>
        <v>1697.5260000000001</v>
      </c>
    </row>
    <row r="136" spans="1:23" x14ac:dyDescent="0.2">
      <c r="A136" s="35">
        <v>2007</v>
      </c>
      <c r="B136" s="49">
        <v>409.36700000000002</v>
      </c>
      <c r="C136" s="49">
        <v>436.12099999999998</v>
      </c>
      <c r="D136" s="49">
        <f t="shared" si="12"/>
        <v>845.48800000000006</v>
      </c>
      <c r="E136" s="49">
        <v>92.724999999999994</v>
      </c>
      <c r="F136" s="49">
        <f t="shared" si="10"/>
        <v>938.21300000000008</v>
      </c>
      <c r="G136" s="49">
        <v>0</v>
      </c>
      <c r="H136" s="49">
        <v>860.28700000000003</v>
      </c>
      <c r="I136" s="49">
        <f t="shared" si="9"/>
        <v>1798.5</v>
      </c>
    </row>
    <row r="137" spans="1:23" x14ac:dyDescent="0.2">
      <c r="A137" s="35">
        <v>2008</v>
      </c>
      <c r="B137" s="49">
        <v>428.80099999999999</v>
      </c>
      <c r="C137" s="49">
        <v>482.46499999999997</v>
      </c>
      <c r="D137" s="49">
        <f t="shared" si="12"/>
        <v>911.26599999999996</v>
      </c>
      <c r="E137" s="49">
        <v>103.333</v>
      </c>
      <c r="F137" s="49">
        <f t="shared" si="10"/>
        <v>1014.5989999999999</v>
      </c>
      <c r="G137" s="49">
        <v>0</v>
      </c>
      <c r="H137" s="49">
        <v>649.57399999999996</v>
      </c>
      <c r="I137" s="49">
        <f t="shared" si="9"/>
        <v>1664.1729999999998</v>
      </c>
    </row>
    <row r="138" spans="1:23" x14ac:dyDescent="0.2">
      <c r="A138" s="35">
        <v>2009</v>
      </c>
      <c r="B138" s="49">
        <v>423.13499999999999</v>
      </c>
      <c r="C138" s="49">
        <v>522.16099999999994</v>
      </c>
      <c r="D138" s="49">
        <f t="shared" si="12"/>
        <v>945.29599999999994</v>
      </c>
      <c r="E138" s="49">
        <v>59.164999999999999</v>
      </c>
      <c r="F138" s="49">
        <f t="shared" si="10"/>
        <v>1004.4609999999999</v>
      </c>
      <c r="G138" s="49">
        <v>0</v>
      </c>
      <c r="H138" s="49">
        <v>529.64200000000005</v>
      </c>
      <c r="I138" s="49">
        <f t="shared" si="9"/>
        <v>1534.1030000000001</v>
      </c>
    </row>
    <row r="139" spans="1:23" x14ac:dyDescent="0.2">
      <c r="A139" s="35">
        <v>2010</v>
      </c>
      <c r="B139" s="49">
        <v>535.71100000000001</v>
      </c>
      <c r="C139" s="49">
        <v>290.94799999999998</v>
      </c>
      <c r="D139" s="49">
        <f t="shared" si="12"/>
        <v>826.65899999999999</v>
      </c>
      <c r="E139" s="49">
        <v>50.464000000000105</v>
      </c>
      <c r="F139" s="49">
        <f t="shared" si="10"/>
        <v>877.12300000000005</v>
      </c>
      <c r="G139" s="49">
        <v>0</v>
      </c>
      <c r="H139" s="49">
        <v>621.02700000000004</v>
      </c>
      <c r="I139" s="49">
        <f t="shared" si="9"/>
        <v>1498.15</v>
      </c>
    </row>
    <row r="140" spans="1:23" x14ac:dyDescent="0.2">
      <c r="A140" s="35">
        <v>2011</v>
      </c>
      <c r="B140" s="49">
        <v>339.89800000000002</v>
      </c>
      <c r="C140" s="49">
        <v>383.71100000000001</v>
      </c>
      <c r="D140" s="49">
        <f t="shared" si="12"/>
        <v>723.60900000000004</v>
      </c>
      <c r="E140" s="49">
        <v>95.39</v>
      </c>
      <c r="F140" s="49">
        <f t="shared" si="10"/>
        <v>818.99900000000002</v>
      </c>
      <c r="G140" s="49">
        <v>0</v>
      </c>
      <c r="H140" s="49">
        <v>559.01300000000003</v>
      </c>
      <c r="I140" s="49">
        <f t="shared" si="9"/>
        <v>1378.0120000000002</v>
      </c>
    </row>
    <row r="141" spans="1:23" x14ac:dyDescent="0.2">
      <c r="A141" s="35">
        <v>2012</v>
      </c>
      <c r="B141" s="49">
        <v>422.16899999999998</v>
      </c>
      <c r="C141" s="49">
        <v>653.74199999999996</v>
      </c>
      <c r="D141" s="49">
        <f t="shared" si="12"/>
        <v>1075.9110000000001</v>
      </c>
      <c r="E141" s="49">
        <v>63.866999999999997</v>
      </c>
      <c r="F141" s="49">
        <f t="shared" si="10"/>
        <v>1139.778</v>
      </c>
      <c r="G141" s="49">
        <v>0</v>
      </c>
      <c r="H141" s="49">
        <v>839.50699999999995</v>
      </c>
      <c r="I141" s="49">
        <f t="shared" si="9"/>
        <v>1979.2849999999999</v>
      </c>
    </row>
    <row r="142" spans="1:23" x14ac:dyDescent="0.2">
      <c r="A142" s="110">
        <v>2013</v>
      </c>
      <c r="B142" s="49">
        <v>455.04500000000002</v>
      </c>
      <c r="C142" s="49">
        <v>659.61599999999999</v>
      </c>
      <c r="D142" s="49">
        <f t="shared" si="12"/>
        <v>1114.6610000000001</v>
      </c>
      <c r="E142" s="49">
        <v>169.517</v>
      </c>
      <c r="F142" s="49">
        <f t="shared" si="10"/>
        <v>1284.1780000000001</v>
      </c>
      <c r="G142" s="49">
        <v>0</v>
      </c>
      <c r="H142" s="49">
        <v>874.26099999999997</v>
      </c>
      <c r="I142" s="49">
        <f t="shared" si="9"/>
        <v>2158.4390000000003</v>
      </c>
    </row>
    <row r="143" spans="1:23" s="9" customFormat="1" x14ac:dyDescent="0.2">
      <c r="A143" s="110">
        <v>2014</v>
      </c>
      <c r="B143" s="49">
        <v>368.5</v>
      </c>
      <c r="C143" s="49">
        <v>791.70299999999997</v>
      </c>
      <c r="D143" s="49">
        <f t="shared" si="12"/>
        <v>1160.203</v>
      </c>
      <c r="E143" s="49">
        <v>96.454999999999998</v>
      </c>
      <c r="F143" s="49">
        <f t="shared" si="10"/>
        <v>1256.6579999999999</v>
      </c>
      <c r="G143" s="49">
        <v>0</v>
      </c>
      <c r="H143" s="49">
        <v>553.06200000000001</v>
      </c>
      <c r="I143" s="49">
        <f t="shared" si="9"/>
        <v>1809.7199999999998</v>
      </c>
      <c r="J143" s="21"/>
      <c r="K143" s="21"/>
      <c r="L143" s="21"/>
      <c r="M143" s="21"/>
      <c r="N143" s="21"/>
      <c r="O143" s="21"/>
      <c r="P143" s="21"/>
      <c r="Q143" s="21"/>
      <c r="R143" s="21"/>
      <c r="S143" s="21"/>
      <c r="T143" s="21"/>
      <c r="U143" s="21"/>
      <c r="V143" s="21"/>
      <c r="W143" s="21"/>
    </row>
    <row r="144" spans="1:23" x14ac:dyDescent="0.2">
      <c r="A144" s="110">
        <v>2015</v>
      </c>
      <c r="B144" s="49">
        <v>384.221</v>
      </c>
      <c r="C144" s="49">
        <v>636.05499999999995</v>
      </c>
      <c r="D144" s="49">
        <f t="shared" si="12"/>
        <v>1020.276</v>
      </c>
      <c r="E144" s="49">
        <v>47.854999999999997</v>
      </c>
      <c r="F144" s="49">
        <f t="shared" si="10"/>
        <v>1068.1309999999999</v>
      </c>
      <c r="G144" s="49">
        <v>0</v>
      </c>
      <c r="H144" s="49">
        <v>747.10199999999998</v>
      </c>
      <c r="I144" s="49">
        <f t="shared" si="9"/>
        <v>1815.2329999999997</v>
      </c>
    </row>
    <row r="145" spans="1:9" x14ac:dyDescent="0.2">
      <c r="A145" s="110">
        <v>2016</v>
      </c>
      <c r="B145" s="49">
        <v>348.28199999999998</v>
      </c>
      <c r="C145" s="49">
        <v>429.44</v>
      </c>
      <c r="D145" s="49">
        <f t="shared" si="12"/>
        <v>777.72199999999998</v>
      </c>
      <c r="E145" s="49">
        <v>32.155999999999999</v>
      </c>
      <c r="F145" s="49">
        <f t="shared" si="10"/>
        <v>809.87799999999993</v>
      </c>
      <c r="G145" s="49">
        <v>0</v>
      </c>
      <c r="H145" s="49">
        <v>1244.0519999999999</v>
      </c>
      <c r="I145" s="49">
        <f t="shared" si="9"/>
        <v>2053.9299999999998</v>
      </c>
    </row>
    <row r="146" spans="1:9" x14ac:dyDescent="0.2">
      <c r="A146" s="110">
        <v>2017</v>
      </c>
      <c r="B146" s="49">
        <v>302.90199999999999</v>
      </c>
      <c r="C146" s="49">
        <v>663.92499999999995</v>
      </c>
      <c r="D146" s="49">
        <f t="shared" si="12"/>
        <v>966.827</v>
      </c>
      <c r="E146" s="49">
        <v>12.981999999999999</v>
      </c>
      <c r="F146" s="49">
        <f t="shared" si="10"/>
        <v>979.80899999999997</v>
      </c>
      <c r="G146" s="49">
        <v>0</v>
      </c>
      <c r="H146" s="49">
        <v>896.18299999999999</v>
      </c>
      <c r="I146" s="49">
        <f t="shared" si="9"/>
        <v>1875.992</v>
      </c>
    </row>
    <row r="147" spans="1:9" x14ac:dyDescent="0.2">
      <c r="A147" s="110">
        <v>2018</v>
      </c>
      <c r="B147" s="49">
        <v>335.99900000000002</v>
      </c>
      <c r="C147" s="49">
        <v>705.79899999999998</v>
      </c>
      <c r="D147" s="49">
        <f t="shared" si="12"/>
        <v>1041.798</v>
      </c>
      <c r="E147" s="49">
        <v>72.492000000000004</v>
      </c>
      <c r="F147" s="49">
        <f t="shared" si="10"/>
        <v>1114.29</v>
      </c>
      <c r="G147" s="49">
        <v>0</v>
      </c>
      <c r="H147" s="49">
        <v>893.61</v>
      </c>
      <c r="I147" s="49">
        <f t="shared" si="9"/>
        <v>2007.9</v>
      </c>
    </row>
    <row r="148" spans="1:9" x14ac:dyDescent="0.2">
      <c r="A148" s="110">
        <v>2019</v>
      </c>
      <c r="B148" s="49">
        <v>314.464</v>
      </c>
      <c r="C148" s="49">
        <v>585.149</v>
      </c>
      <c r="D148" s="49">
        <f t="shared" si="12"/>
        <v>899.61300000000006</v>
      </c>
      <c r="E148" s="49">
        <v>99.632999999999996</v>
      </c>
      <c r="F148" s="49">
        <f t="shared" si="10"/>
        <v>999.24600000000009</v>
      </c>
      <c r="G148" s="49">
        <v>0</v>
      </c>
      <c r="H148" s="49">
        <v>783.30200000000002</v>
      </c>
      <c r="I148" s="49">
        <f t="shared" si="9"/>
        <v>1782.5480000000002</v>
      </c>
    </row>
    <row r="149" spans="1:9" x14ac:dyDescent="0.2">
      <c r="A149" s="110">
        <v>2020</v>
      </c>
      <c r="B149" s="49">
        <v>342.96300000000002</v>
      </c>
      <c r="C149" s="49">
        <v>537.71</v>
      </c>
      <c r="D149" s="49">
        <f t="shared" si="12"/>
        <v>880.673</v>
      </c>
      <c r="E149" s="49">
        <v>11.393000000000001</v>
      </c>
      <c r="F149" s="49">
        <f t="shared" si="10"/>
        <v>892.06600000000003</v>
      </c>
      <c r="G149" s="49">
        <v>0</v>
      </c>
      <c r="H149" s="49">
        <v>725.52200000000005</v>
      </c>
      <c r="I149" s="49">
        <f t="shared" si="9"/>
        <v>1617.5880000000002</v>
      </c>
    </row>
    <row r="150" spans="1:9" x14ac:dyDescent="0.2">
      <c r="A150" s="35">
        <v>2021</v>
      </c>
      <c r="B150" s="49">
        <v>318.22500000000002</v>
      </c>
      <c r="C150" s="49">
        <v>507.26499999999999</v>
      </c>
      <c r="D150" s="49">
        <f t="shared" si="12"/>
        <v>825.49</v>
      </c>
      <c r="E150" s="49">
        <v>36.637999999999998</v>
      </c>
      <c r="F150" s="49">
        <f t="shared" si="10"/>
        <v>862.12800000000004</v>
      </c>
      <c r="G150" s="49">
        <v>0</v>
      </c>
      <c r="H150" s="49">
        <v>842.70100000000002</v>
      </c>
      <c r="I150" s="49">
        <f t="shared" si="9"/>
        <v>1704.8290000000002</v>
      </c>
    </row>
    <row r="151" spans="1:9" x14ac:dyDescent="0.2">
      <c r="A151" s="35">
        <v>2022</v>
      </c>
      <c r="B151" s="49">
        <v>370.21600000000001</v>
      </c>
      <c r="C151" s="49">
        <v>718.03800000000001</v>
      </c>
      <c r="D151" s="49">
        <f>B151+C151</f>
        <v>1088.2539999999999</v>
      </c>
      <c r="E151" s="49">
        <v>59.850999999999999</v>
      </c>
      <c r="F151" s="49">
        <f t="shared" si="10"/>
        <v>1148.105</v>
      </c>
      <c r="G151" s="49">
        <v>0</v>
      </c>
      <c r="H151" s="49">
        <v>670.49800000000005</v>
      </c>
      <c r="I151" s="49">
        <f t="shared" si="9"/>
        <v>1818.6030000000001</v>
      </c>
    </row>
    <row r="152" spans="1:9" x14ac:dyDescent="0.2">
      <c r="A152" s="35">
        <v>2023</v>
      </c>
      <c r="B152" s="49">
        <v>412.41699999999997</v>
      </c>
      <c r="C152" s="49">
        <v>539.25900000000001</v>
      </c>
      <c r="D152" s="49">
        <f>B152+C152</f>
        <v>951.67599999999993</v>
      </c>
      <c r="E152" s="49">
        <v>82.596000000000004</v>
      </c>
      <c r="F152" s="49">
        <f t="shared" si="10"/>
        <v>1034.2719999999999</v>
      </c>
      <c r="G152" s="49">
        <v>0</v>
      </c>
      <c r="H152" s="49">
        <v>820.81299999999999</v>
      </c>
      <c r="I152" s="49">
        <f t="shared" si="9"/>
        <v>1855.085</v>
      </c>
    </row>
    <row r="153" spans="1:9" x14ac:dyDescent="0.2">
      <c r="A153" s="131">
        <v>2024</v>
      </c>
      <c r="B153" s="129">
        <v>431.13299999999998</v>
      </c>
      <c r="C153" s="129">
        <v>607.60599999999999</v>
      </c>
      <c r="D153" s="129">
        <f>B153+C153</f>
        <v>1038.739</v>
      </c>
      <c r="E153" s="129">
        <v>149.02500000000001</v>
      </c>
      <c r="F153" s="129">
        <f t="shared" si="10"/>
        <v>1187.7640000000001</v>
      </c>
      <c r="G153" s="129">
        <v>0</v>
      </c>
      <c r="H153" s="129">
        <v>935.15</v>
      </c>
      <c r="I153" s="129">
        <f t="shared" si="9"/>
        <v>2122.9140000000002</v>
      </c>
    </row>
    <row r="154" spans="1:9" x14ac:dyDescent="0.2">
      <c r="A154" s="76" t="s">
        <v>33</v>
      </c>
      <c r="B154" s="83"/>
      <c r="C154" s="83"/>
      <c r="D154" s="83"/>
      <c r="E154" s="83"/>
      <c r="F154" s="83"/>
      <c r="G154" s="83"/>
      <c r="H154" s="83"/>
      <c r="I154" s="83"/>
    </row>
    <row r="155" spans="1:9" x14ac:dyDescent="0.2">
      <c r="A155" s="76" t="s">
        <v>329</v>
      </c>
      <c r="B155" s="83"/>
      <c r="C155" s="83"/>
      <c r="D155" s="83"/>
      <c r="E155" s="83"/>
      <c r="F155" s="83"/>
      <c r="G155" s="83"/>
      <c r="H155" s="83"/>
      <c r="I155" s="83"/>
    </row>
    <row r="156" spans="1:9" x14ac:dyDescent="0.2">
      <c r="A156" s="76" t="s">
        <v>330</v>
      </c>
      <c r="B156" s="83"/>
      <c r="C156" s="83"/>
      <c r="D156" s="83"/>
      <c r="E156" s="83"/>
      <c r="F156" s="83"/>
      <c r="G156" s="83"/>
      <c r="H156" s="83"/>
      <c r="I156" s="83"/>
    </row>
    <row r="157" spans="1:9" x14ac:dyDescent="0.2">
      <c r="A157" s="12" t="s">
        <v>394</v>
      </c>
      <c r="B157" s="83"/>
      <c r="C157" s="83"/>
      <c r="D157" s="83"/>
      <c r="E157" s="83"/>
      <c r="F157" s="83"/>
      <c r="G157" s="83"/>
      <c r="H157" s="83"/>
      <c r="I157" s="83"/>
    </row>
    <row r="158" spans="1:9" x14ac:dyDescent="0.2">
      <c r="A158" s="86" t="s">
        <v>408</v>
      </c>
    </row>
    <row r="159" spans="1:9" x14ac:dyDescent="0.2">
      <c r="A159" s="100" t="s">
        <v>332</v>
      </c>
    </row>
    <row r="160" spans="1:9" x14ac:dyDescent="0.2">
      <c r="A160" s="12"/>
    </row>
  </sheetData>
  <mergeCells count="1">
    <mergeCell ref="B4:D4"/>
  </mergeCells>
  <pageMargins left="0.75" right="0.75" top="1" bottom="1" header="0.5" footer="0.5"/>
  <pageSetup scale="64" orientation="portrait"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F31877-EFDA-457F-83D7-5524EC79B19F}">
  <dimension ref="A1:AU141"/>
  <sheetViews>
    <sheetView zoomScaleNormal="100" workbookViewId="0"/>
  </sheetViews>
  <sheetFormatPr defaultRowHeight="12.75" x14ac:dyDescent="0.2"/>
  <cols>
    <col min="1" max="1" width="29.7109375" style="10" customWidth="1"/>
    <col min="2" max="3" width="6.7109375" style="10" customWidth="1"/>
    <col min="4" max="5" width="7.140625" style="10" customWidth="1"/>
    <col min="6" max="7" width="6.42578125" style="10" customWidth="1"/>
    <col min="8" max="8" width="6.5703125" style="10" customWidth="1"/>
    <col min="9" max="11" width="6.7109375" style="10" customWidth="1"/>
    <col min="12" max="20" width="7.5703125" style="10" customWidth="1"/>
    <col min="21" max="21" width="7.5703125" style="21" customWidth="1"/>
    <col min="22" max="22" width="8.5703125" style="21" customWidth="1"/>
    <col min="23" max="27" width="7.5703125" style="21" customWidth="1"/>
    <col min="28" max="28" width="8.140625" style="21" customWidth="1"/>
    <col min="29" max="44" width="7.5703125" style="10" customWidth="1"/>
    <col min="45" max="46" width="7.5703125" style="168" bestFit="1" customWidth="1"/>
    <col min="47" max="256" width="9.140625" style="10"/>
    <col min="257" max="257" width="20.7109375" style="10" customWidth="1"/>
    <col min="258" max="277" width="0" style="10" hidden="1" customWidth="1"/>
    <col min="278" max="278" width="8.5703125" style="10" customWidth="1"/>
    <col min="279" max="283" width="7.5703125" style="10" customWidth="1"/>
    <col min="284" max="284" width="8.140625" style="10" customWidth="1"/>
    <col min="285" max="299" width="7.5703125" style="10" bestFit="1" customWidth="1"/>
    <col min="300" max="512" width="9.140625" style="10"/>
    <col min="513" max="513" width="20.7109375" style="10" customWidth="1"/>
    <col min="514" max="533" width="0" style="10" hidden="1" customWidth="1"/>
    <col min="534" max="534" width="8.5703125" style="10" customWidth="1"/>
    <col min="535" max="539" width="7.5703125" style="10" customWidth="1"/>
    <col min="540" max="540" width="8.140625" style="10" customWidth="1"/>
    <col min="541" max="555" width="7.5703125" style="10" bestFit="1" customWidth="1"/>
    <col min="556" max="768" width="9.140625" style="10"/>
    <col min="769" max="769" width="20.7109375" style="10" customWidth="1"/>
    <col min="770" max="789" width="0" style="10" hidden="1" customWidth="1"/>
    <col min="790" max="790" width="8.5703125" style="10" customWidth="1"/>
    <col min="791" max="795" width="7.5703125" style="10" customWidth="1"/>
    <col min="796" max="796" width="8.140625" style="10" customWidth="1"/>
    <col min="797" max="811" width="7.5703125" style="10" bestFit="1" customWidth="1"/>
    <col min="812" max="1024" width="9.140625" style="10"/>
    <col min="1025" max="1025" width="20.7109375" style="10" customWidth="1"/>
    <col min="1026" max="1045" width="0" style="10" hidden="1" customWidth="1"/>
    <col min="1046" max="1046" width="8.5703125" style="10" customWidth="1"/>
    <col min="1047" max="1051" width="7.5703125" style="10" customWidth="1"/>
    <col min="1052" max="1052" width="8.140625" style="10" customWidth="1"/>
    <col min="1053" max="1067" width="7.5703125" style="10" bestFit="1" customWidth="1"/>
    <col min="1068" max="1280" width="9.140625" style="10"/>
    <col min="1281" max="1281" width="20.7109375" style="10" customWidth="1"/>
    <col min="1282" max="1301" width="0" style="10" hidden="1" customWidth="1"/>
    <col min="1302" max="1302" width="8.5703125" style="10" customWidth="1"/>
    <col min="1303" max="1307" width="7.5703125" style="10" customWidth="1"/>
    <col min="1308" max="1308" width="8.140625" style="10" customWidth="1"/>
    <col min="1309" max="1323" width="7.5703125" style="10" bestFit="1" customWidth="1"/>
    <col min="1324" max="1536" width="9.140625" style="10"/>
    <col min="1537" max="1537" width="20.7109375" style="10" customWidth="1"/>
    <col min="1538" max="1557" width="0" style="10" hidden="1" customWidth="1"/>
    <col min="1558" max="1558" width="8.5703125" style="10" customWidth="1"/>
    <col min="1559" max="1563" width="7.5703125" style="10" customWidth="1"/>
    <col min="1564" max="1564" width="8.140625" style="10" customWidth="1"/>
    <col min="1565" max="1579" width="7.5703125" style="10" bestFit="1" customWidth="1"/>
    <col min="1580" max="1792" width="9.140625" style="10"/>
    <col min="1793" max="1793" width="20.7109375" style="10" customWidth="1"/>
    <col min="1794" max="1813" width="0" style="10" hidden="1" customWidth="1"/>
    <col min="1814" max="1814" width="8.5703125" style="10" customWidth="1"/>
    <col min="1815" max="1819" width="7.5703125" style="10" customWidth="1"/>
    <col min="1820" max="1820" width="8.140625" style="10" customWidth="1"/>
    <col min="1821" max="1835" width="7.5703125" style="10" bestFit="1" customWidth="1"/>
    <col min="1836" max="2048" width="9.140625" style="10"/>
    <col min="2049" max="2049" width="20.7109375" style="10" customWidth="1"/>
    <col min="2050" max="2069" width="0" style="10" hidden="1" customWidth="1"/>
    <col min="2070" max="2070" width="8.5703125" style="10" customWidth="1"/>
    <col min="2071" max="2075" width="7.5703125" style="10" customWidth="1"/>
    <col min="2076" max="2076" width="8.140625" style="10" customWidth="1"/>
    <col min="2077" max="2091" width="7.5703125" style="10" bestFit="1" customWidth="1"/>
    <col min="2092" max="2304" width="9.140625" style="10"/>
    <col min="2305" max="2305" width="20.7109375" style="10" customWidth="1"/>
    <col min="2306" max="2325" width="0" style="10" hidden="1" customWidth="1"/>
    <col min="2326" max="2326" width="8.5703125" style="10" customWidth="1"/>
    <col min="2327" max="2331" width="7.5703125" style="10" customWidth="1"/>
    <col min="2332" max="2332" width="8.140625" style="10" customWidth="1"/>
    <col min="2333" max="2347" width="7.5703125" style="10" bestFit="1" customWidth="1"/>
    <col min="2348" max="2560" width="9.140625" style="10"/>
    <col min="2561" max="2561" width="20.7109375" style="10" customWidth="1"/>
    <col min="2562" max="2581" width="0" style="10" hidden="1" customWidth="1"/>
    <col min="2582" max="2582" width="8.5703125" style="10" customWidth="1"/>
    <col min="2583" max="2587" width="7.5703125" style="10" customWidth="1"/>
    <col min="2588" max="2588" width="8.140625" style="10" customWidth="1"/>
    <col min="2589" max="2603" width="7.5703125" style="10" bestFit="1" customWidth="1"/>
    <col min="2604" max="2816" width="9.140625" style="10"/>
    <col min="2817" max="2817" width="20.7109375" style="10" customWidth="1"/>
    <col min="2818" max="2837" width="0" style="10" hidden="1" customWidth="1"/>
    <col min="2838" max="2838" width="8.5703125" style="10" customWidth="1"/>
    <col min="2839" max="2843" width="7.5703125" style="10" customWidth="1"/>
    <col min="2844" max="2844" width="8.140625" style="10" customWidth="1"/>
    <col min="2845" max="2859" width="7.5703125" style="10" bestFit="1" customWidth="1"/>
    <col min="2860" max="3072" width="9.140625" style="10"/>
    <col min="3073" max="3073" width="20.7109375" style="10" customWidth="1"/>
    <col min="3074" max="3093" width="0" style="10" hidden="1" customWidth="1"/>
    <col min="3094" max="3094" width="8.5703125" style="10" customWidth="1"/>
    <col min="3095" max="3099" width="7.5703125" style="10" customWidth="1"/>
    <col min="3100" max="3100" width="8.140625" style="10" customWidth="1"/>
    <col min="3101" max="3115" width="7.5703125" style="10" bestFit="1" customWidth="1"/>
    <col min="3116" max="3328" width="9.140625" style="10"/>
    <col min="3329" max="3329" width="20.7109375" style="10" customWidth="1"/>
    <col min="3330" max="3349" width="0" style="10" hidden="1" customWidth="1"/>
    <col min="3350" max="3350" width="8.5703125" style="10" customWidth="1"/>
    <col min="3351" max="3355" width="7.5703125" style="10" customWidth="1"/>
    <col min="3356" max="3356" width="8.140625" style="10" customWidth="1"/>
    <col min="3357" max="3371" width="7.5703125" style="10" bestFit="1" customWidth="1"/>
    <col min="3372" max="3584" width="9.140625" style="10"/>
    <col min="3585" max="3585" width="20.7109375" style="10" customWidth="1"/>
    <col min="3586" max="3605" width="0" style="10" hidden="1" customWidth="1"/>
    <col min="3606" max="3606" width="8.5703125" style="10" customWidth="1"/>
    <col min="3607" max="3611" width="7.5703125" style="10" customWidth="1"/>
    <col min="3612" max="3612" width="8.140625" style="10" customWidth="1"/>
    <col min="3613" max="3627" width="7.5703125" style="10" bestFit="1" customWidth="1"/>
    <col min="3628" max="3840" width="9.140625" style="10"/>
    <col min="3841" max="3841" width="20.7109375" style="10" customWidth="1"/>
    <col min="3842" max="3861" width="0" style="10" hidden="1" customWidth="1"/>
    <col min="3862" max="3862" width="8.5703125" style="10" customWidth="1"/>
    <col min="3863" max="3867" width="7.5703125" style="10" customWidth="1"/>
    <col min="3868" max="3868" width="8.140625" style="10" customWidth="1"/>
    <col min="3869" max="3883" width="7.5703125" style="10" bestFit="1" customWidth="1"/>
    <col min="3884" max="4096" width="9.140625" style="10"/>
    <col min="4097" max="4097" width="20.7109375" style="10" customWidth="1"/>
    <col min="4098" max="4117" width="0" style="10" hidden="1" customWidth="1"/>
    <col min="4118" max="4118" width="8.5703125" style="10" customWidth="1"/>
    <col min="4119" max="4123" width="7.5703125" style="10" customWidth="1"/>
    <col min="4124" max="4124" width="8.140625" style="10" customWidth="1"/>
    <col min="4125" max="4139" width="7.5703125" style="10" bestFit="1" customWidth="1"/>
    <col min="4140" max="4352" width="9.140625" style="10"/>
    <col min="4353" max="4353" width="20.7109375" style="10" customWidth="1"/>
    <col min="4354" max="4373" width="0" style="10" hidden="1" customWidth="1"/>
    <col min="4374" max="4374" width="8.5703125" style="10" customWidth="1"/>
    <col min="4375" max="4379" width="7.5703125" style="10" customWidth="1"/>
    <col min="4380" max="4380" width="8.140625" style="10" customWidth="1"/>
    <col min="4381" max="4395" width="7.5703125" style="10" bestFit="1" customWidth="1"/>
    <col min="4396" max="4608" width="9.140625" style="10"/>
    <col min="4609" max="4609" width="20.7109375" style="10" customWidth="1"/>
    <col min="4610" max="4629" width="0" style="10" hidden="1" customWidth="1"/>
    <col min="4630" max="4630" width="8.5703125" style="10" customWidth="1"/>
    <col min="4631" max="4635" width="7.5703125" style="10" customWidth="1"/>
    <col min="4636" max="4636" width="8.140625" style="10" customWidth="1"/>
    <col min="4637" max="4651" width="7.5703125" style="10" bestFit="1" customWidth="1"/>
    <col min="4652" max="4864" width="9.140625" style="10"/>
    <col min="4865" max="4865" width="20.7109375" style="10" customWidth="1"/>
    <col min="4866" max="4885" width="0" style="10" hidden="1" customWidth="1"/>
    <col min="4886" max="4886" width="8.5703125" style="10" customWidth="1"/>
    <col min="4887" max="4891" width="7.5703125" style="10" customWidth="1"/>
    <col min="4892" max="4892" width="8.140625" style="10" customWidth="1"/>
    <col min="4893" max="4907" width="7.5703125" style="10" bestFit="1" customWidth="1"/>
    <col min="4908" max="5120" width="9.140625" style="10"/>
    <col min="5121" max="5121" width="20.7109375" style="10" customWidth="1"/>
    <col min="5122" max="5141" width="0" style="10" hidden="1" customWidth="1"/>
    <col min="5142" max="5142" width="8.5703125" style="10" customWidth="1"/>
    <col min="5143" max="5147" width="7.5703125" style="10" customWidth="1"/>
    <col min="5148" max="5148" width="8.140625" style="10" customWidth="1"/>
    <col min="5149" max="5163" width="7.5703125" style="10" bestFit="1" customWidth="1"/>
    <col min="5164" max="5376" width="9.140625" style="10"/>
    <col min="5377" max="5377" width="20.7109375" style="10" customWidth="1"/>
    <col min="5378" max="5397" width="0" style="10" hidden="1" customWidth="1"/>
    <col min="5398" max="5398" width="8.5703125" style="10" customWidth="1"/>
    <col min="5399" max="5403" width="7.5703125" style="10" customWidth="1"/>
    <col min="5404" max="5404" width="8.140625" style="10" customWidth="1"/>
    <col min="5405" max="5419" width="7.5703125" style="10" bestFit="1" customWidth="1"/>
    <col min="5420" max="5632" width="9.140625" style="10"/>
    <col min="5633" max="5633" width="20.7109375" style="10" customWidth="1"/>
    <col min="5634" max="5653" width="0" style="10" hidden="1" customWidth="1"/>
    <col min="5654" max="5654" width="8.5703125" style="10" customWidth="1"/>
    <col min="5655" max="5659" width="7.5703125" style="10" customWidth="1"/>
    <col min="5660" max="5660" width="8.140625" style="10" customWidth="1"/>
    <col min="5661" max="5675" width="7.5703125" style="10" bestFit="1" customWidth="1"/>
    <col min="5676" max="5888" width="9.140625" style="10"/>
    <col min="5889" max="5889" width="20.7109375" style="10" customWidth="1"/>
    <col min="5890" max="5909" width="0" style="10" hidden="1" customWidth="1"/>
    <col min="5910" max="5910" width="8.5703125" style="10" customWidth="1"/>
    <col min="5911" max="5915" width="7.5703125" style="10" customWidth="1"/>
    <col min="5916" max="5916" width="8.140625" style="10" customWidth="1"/>
    <col min="5917" max="5931" width="7.5703125" style="10" bestFit="1" customWidth="1"/>
    <col min="5932" max="6144" width="9.140625" style="10"/>
    <col min="6145" max="6145" width="20.7109375" style="10" customWidth="1"/>
    <col min="6146" max="6165" width="0" style="10" hidden="1" customWidth="1"/>
    <col min="6166" max="6166" width="8.5703125" style="10" customWidth="1"/>
    <col min="6167" max="6171" width="7.5703125" style="10" customWidth="1"/>
    <col min="6172" max="6172" width="8.140625" style="10" customWidth="1"/>
    <col min="6173" max="6187" width="7.5703125" style="10" bestFit="1" customWidth="1"/>
    <col min="6188" max="6400" width="9.140625" style="10"/>
    <col min="6401" max="6401" width="20.7109375" style="10" customWidth="1"/>
    <col min="6402" max="6421" width="0" style="10" hidden="1" customWidth="1"/>
    <col min="6422" max="6422" width="8.5703125" style="10" customWidth="1"/>
    <col min="6423" max="6427" width="7.5703125" style="10" customWidth="1"/>
    <col min="6428" max="6428" width="8.140625" style="10" customWidth="1"/>
    <col min="6429" max="6443" width="7.5703125" style="10" bestFit="1" customWidth="1"/>
    <col min="6444" max="6656" width="9.140625" style="10"/>
    <col min="6657" max="6657" width="20.7109375" style="10" customWidth="1"/>
    <col min="6658" max="6677" width="0" style="10" hidden="1" customWidth="1"/>
    <col min="6678" max="6678" width="8.5703125" style="10" customWidth="1"/>
    <col min="6679" max="6683" width="7.5703125" style="10" customWidth="1"/>
    <col min="6684" max="6684" width="8.140625" style="10" customWidth="1"/>
    <col min="6685" max="6699" width="7.5703125" style="10" bestFit="1" customWidth="1"/>
    <col min="6700" max="6912" width="9.140625" style="10"/>
    <col min="6913" max="6913" width="20.7109375" style="10" customWidth="1"/>
    <col min="6914" max="6933" width="0" style="10" hidden="1" customWidth="1"/>
    <col min="6934" max="6934" width="8.5703125" style="10" customWidth="1"/>
    <col min="6935" max="6939" width="7.5703125" style="10" customWidth="1"/>
    <col min="6940" max="6940" width="8.140625" style="10" customWidth="1"/>
    <col min="6941" max="6955" width="7.5703125" style="10" bestFit="1" customWidth="1"/>
    <col min="6956" max="7168" width="9.140625" style="10"/>
    <col min="7169" max="7169" width="20.7109375" style="10" customWidth="1"/>
    <col min="7170" max="7189" width="0" style="10" hidden="1" customWidth="1"/>
    <col min="7190" max="7190" width="8.5703125" style="10" customWidth="1"/>
    <col min="7191" max="7195" width="7.5703125" style="10" customWidth="1"/>
    <col min="7196" max="7196" width="8.140625" style="10" customWidth="1"/>
    <col min="7197" max="7211" width="7.5703125" style="10" bestFit="1" customWidth="1"/>
    <col min="7212" max="7424" width="9.140625" style="10"/>
    <col min="7425" max="7425" width="20.7109375" style="10" customWidth="1"/>
    <col min="7426" max="7445" width="0" style="10" hidden="1" customWidth="1"/>
    <col min="7446" max="7446" width="8.5703125" style="10" customWidth="1"/>
    <col min="7447" max="7451" width="7.5703125" style="10" customWidth="1"/>
    <col min="7452" max="7452" width="8.140625" style="10" customWidth="1"/>
    <col min="7453" max="7467" width="7.5703125" style="10" bestFit="1" customWidth="1"/>
    <col min="7468" max="7680" width="9.140625" style="10"/>
    <col min="7681" max="7681" width="20.7109375" style="10" customWidth="1"/>
    <col min="7682" max="7701" width="0" style="10" hidden="1" customWidth="1"/>
    <col min="7702" max="7702" width="8.5703125" style="10" customWidth="1"/>
    <col min="7703" max="7707" width="7.5703125" style="10" customWidth="1"/>
    <col min="7708" max="7708" width="8.140625" style="10" customWidth="1"/>
    <col min="7709" max="7723" width="7.5703125" style="10" bestFit="1" customWidth="1"/>
    <col min="7724" max="7936" width="9.140625" style="10"/>
    <col min="7937" max="7937" width="20.7109375" style="10" customWidth="1"/>
    <col min="7938" max="7957" width="0" style="10" hidden="1" customWidth="1"/>
    <col min="7958" max="7958" width="8.5703125" style="10" customWidth="1"/>
    <col min="7959" max="7963" width="7.5703125" style="10" customWidth="1"/>
    <col min="7964" max="7964" width="8.140625" style="10" customWidth="1"/>
    <col min="7965" max="7979" width="7.5703125" style="10" bestFit="1" customWidth="1"/>
    <col min="7980" max="8192" width="9.140625" style="10"/>
    <col min="8193" max="8193" width="20.7109375" style="10" customWidth="1"/>
    <col min="8194" max="8213" width="0" style="10" hidden="1" customWidth="1"/>
    <col min="8214" max="8214" width="8.5703125" style="10" customWidth="1"/>
    <col min="8215" max="8219" width="7.5703125" style="10" customWidth="1"/>
    <col min="8220" max="8220" width="8.140625" style="10" customWidth="1"/>
    <col min="8221" max="8235" width="7.5703125" style="10" bestFit="1" customWidth="1"/>
    <col min="8236" max="8448" width="9.140625" style="10"/>
    <col min="8449" max="8449" width="20.7109375" style="10" customWidth="1"/>
    <col min="8450" max="8469" width="0" style="10" hidden="1" customWidth="1"/>
    <col min="8470" max="8470" width="8.5703125" style="10" customWidth="1"/>
    <col min="8471" max="8475" width="7.5703125" style="10" customWidth="1"/>
    <col min="8476" max="8476" width="8.140625" style="10" customWidth="1"/>
    <col min="8477" max="8491" width="7.5703125" style="10" bestFit="1" customWidth="1"/>
    <col min="8492" max="8704" width="9.140625" style="10"/>
    <col min="8705" max="8705" width="20.7109375" style="10" customWidth="1"/>
    <col min="8706" max="8725" width="0" style="10" hidden="1" customWidth="1"/>
    <col min="8726" max="8726" width="8.5703125" style="10" customWidth="1"/>
    <col min="8727" max="8731" width="7.5703125" style="10" customWidth="1"/>
    <col min="8732" max="8732" width="8.140625" style="10" customWidth="1"/>
    <col min="8733" max="8747" width="7.5703125" style="10" bestFit="1" customWidth="1"/>
    <col min="8748" max="8960" width="9.140625" style="10"/>
    <col min="8961" max="8961" width="20.7109375" style="10" customWidth="1"/>
    <col min="8962" max="8981" width="0" style="10" hidden="1" customWidth="1"/>
    <col min="8982" max="8982" width="8.5703125" style="10" customWidth="1"/>
    <col min="8983" max="8987" width="7.5703125" style="10" customWidth="1"/>
    <col min="8988" max="8988" width="8.140625" style="10" customWidth="1"/>
    <col min="8989" max="9003" width="7.5703125" style="10" bestFit="1" customWidth="1"/>
    <col min="9004" max="9216" width="9.140625" style="10"/>
    <col min="9217" max="9217" width="20.7109375" style="10" customWidth="1"/>
    <col min="9218" max="9237" width="0" style="10" hidden="1" customWidth="1"/>
    <col min="9238" max="9238" width="8.5703125" style="10" customWidth="1"/>
    <col min="9239" max="9243" width="7.5703125" style="10" customWidth="1"/>
    <col min="9244" max="9244" width="8.140625" style="10" customWidth="1"/>
    <col min="9245" max="9259" width="7.5703125" style="10" bestFit="1" customWidth="1"/>
    <col min="9260" max="9472" width="9.140625" style="10"/>
    <col min="9473" max="9473" width="20.7109375" style="10" customWidth="1"/>
    <col min="9474" max="9493" width="0" style="10" hidden="1" customWidth="1"/>
    <col min="9494" max="9494" width="8.5703125" style="10" customWidth="1"/>
    <col min="9495" max="9499" width="7.5703125" style="10" customWidth="1"/>
    <col min="9500" max="9500" width="8.140625" style="10" customWidth="1"/>
    <col min="9501" max="9515" width="7.5703125" style="10" bestFit="1" customWidth="1"/>
    <col min="9516" max="9728" width="9.140625" style="10"/>
    <col min="9729" max="9729" width="20.7109375" style="10" customWidth="1"/>
    <col min="9730" max="9749" width="0" style="10" hidden="1" customWidth="1"/>
    <col min="9750" max="9750" width="8.5703125" style="10" customWidth="1"/>
    <col min="9751" max="9755" width="7.5703125" style="10" customWidth="1"/>
    <col min="9756" max="9756" width="8.140625" style="10" customWidth="1"/>
    <col min="9757" max="9771" width="7.5703125" style="10" bestFit="1" customWidth="1"/>
    <col min="9772" max="9984" width="9.140625" style="10"/>
    <col min="9985" max="9985" width="20.7109375" style="10" customWidth="1"/>
    <col min="9986" max="10005" width="0" style="10" hidden="1" customWidth="1"/>
    <col min="10006" max="10006" width="8.5703125" style="10" customWidth="1"/>
    <col min="10007" max="10011" width="7.5703125" style="10" customWidth="1"/>
    <col min="10012" max="10012" width="8.140625" style="10" customWidth="1"/>
    <col min="10013" max="10027" width="7.5703125" style="10" bestFit="1" customWidth="1"/>
    <col min="10028" max="10240" width="9.140625" style="10"/>
    <col min="10241" max="10241" width="20.7109375" style="10" customWidth="1"/>
    <col min="10242" max="10261" width="0" style="10" hidden="1" customWidth="1"/>
    <col min="10262" max="10262" width="8.5703125" style="10" customWidth="1"/>
    <col min="10263" max="10267" width="7.5703125" style="10" customWidth="1"/>
    <col min="10268" max="10268" width="8.140625" style="10" customWidth="1"/>
    <col min="10269" max="10283" width="7.5703125" style="10" bestFit="1" customWidth="1"/>
    <col min="10284" max="10496" width="9.140625" style="10"/>
    <col min="10497" max="10497" width="20.7109375" style="10" customWidth="1"/>
    <col min="10498" max="10517" width="0" style="10" hidden="1" customWidth="1"/>
    <col min="10518" max="10518" width="8.5703125" style="10" customWidth="1"/>
    <col min="10519" max="10523" width="7.5703125" style="10" customWidth="1"/>
    <col min="10524" max="10524" width="8.140625" style="10" customWidth="1"/>
    <col min="10525" max="10539" width="7.5703125" style="10" bestFit="1" customWidth="1"/>
    <col min="10540" max="10752" width="9.140625" style="10"/>
    <col min="10753" max="10753" width="20.7109375" style="10" customWidth="1"/>
    <col min="10754" max="10773" width="0" style="10" hidden="1" customWidth="1"/>
    <col min="10774" max="10774" width="8.5703125" style="10" customWidth="1"/>
    <col min="10775" max="10779" width="7.5703125" style="10" customWidth="1"/>
    <col min="10780" max="10780" width="8.140625" style="10" customWidth="1"/>
    <col min="10781" max="10795" width="7.5703125" style="10" bestFit="1" customWidth="1"/>
    <col min="10796" max="11008" width="9.140625" style="10"/>
    <col min="11009" max="11009" width="20.7109375" style="10" customWidth="1"/>
    <col min="11010" max="11029" width="0" style="10" hidden="1" customWidth="1"/>
    <col min="11030" max="11030" width="8.5703125" style="10" customWidth="1"/>
    <col min="11031" max="11035" width="7.5703125" style="10" customWidth="1"/>
    <col min="11036" max="11036" width="8.140625" style="10" customWidth="1"/>
    <col min="11037" max="11051" width="7.5703125" style="10" bestFit="1" customWidth="1"/>
    <col min="11052" max="11264" width="9.140625" style="10"/>
    <col min="11265" max="11265" width="20.7109375" style="10" customWidth="1"/>
    <col min="11266" max="11285" width="0" style="10" hidden="1" customWidth="1"/>
    <col min="11286" max="11286" width="8.5703125" style="10" customWidth="1"/>
    <col min="11287" max="11291" width="7.5703125" style="10" customWidth="1"/>
    <col min="11292" max="11292" width="8.140625" style="10" customWidth="1"/>
    <col min="11293" max="11307" width="7.5703125" style="10" bestFit="1" customWidth="1"/>
    <col min="11308" max="11520" width="9.140625" style="10"/>
    <col min="11521" max="11521" width="20.7109375" style="10" customWidth="1"/>
    <col min="11522" max="11541" width="0" style="10" hidden="1" customWidth="1"/>
    <col min="11542" max="11542" width="8.5703125" style="10" customWidth="1"/>
    <col min="11543" max="11547" width="7.5703125" style="10" customWidth="1"/>
    <col min="11548" max="11548" width="8.140625" style="10" customWidth="1"/>
    <col min="11549" max="11563" width="7.5703125" style="10" bestFit="1" customWidth="1"/>
    <col min="11564" max="11776" width="9.140625" style="10"/>
    <col min="11777" max="11777" width="20.7109375" style="10" customWidth="1"/>
    <col min="11778" max="11797" width="0" style="10" hidden="1" customWidth="1"/>
    <col min="11798" max="11798" width="8.5703125" style="10" customWidth="1"/>
    <col min="11799" max="11803" width="7.5703125" style="10" customWidth="1"/>
    <col min="11804" max="11804" width="8.140625" style="10" customWidth="1"/>
    <col min="11805" max="11819" width="7.5703125" style="10" bestFit="1" customWidth="1"/>
    <col min="11820" max="12032" width="9.140625" style="10"/>
    <col min="12033" max="12033" width="20.7109375" style="10" customWidth="1"/>
    <col min="12034" max="12053" width="0" style="10" hidden="1" customWidth="1"/>
    <col min="12054" max="12054" width="8.5703125" style="10" customWidth="1"/>
    <col min="12055" max="12059" width="7.5703125" style="10" customWidth="1"/>
    <col min="12060" max="12060" width="8.140625" style="10" customWidth="1"/>
    <col min="12061" max="12075" width="7.5703125" style="10" bestFit="1" customWidth="1"/>
    <col min="12076" max="12288" width="9.140625" style="10"/>
    <col min="12289" max="12289" width="20.7109375" style="10" customWidth="1"/>
    <col min="12290" max="12309" width="0" style="10" hidden="1" customWidth="1"/>
    <col min="12310" max="12310" width="8.5703125" style="10" customWidth="1"/>
    <col min="12311" max="12315" width="7.5703125" style="10" customWidth="1"/>
    <col min="12316" max="12316" width="8.140625" style="10" customWidth="1"/>
    <col min="12317" max="12331" width="7.5703125" style="10" bestFit="1" customWidth="1"/>
    <col min="12332" max="12544" width="9.140625" style="10"/>
    <col min="12545" max="12545" width="20.7109375" style="10" customWidth="1"/>
    <col min="12546" max="12565" width="0" style="10" hidden="1" customWidth="1"/>
    <col min="12566" max="12566" width="8.5703125" style="10" customWidth="1"/>
    <col min="12567" max="12571" width="7.5703125" style="10" customWidth="1"/>
    <col min="12572" max="12572" width="8.140625" style="10" customWidth="1"/>
    <col min="12573" max="12587" width="7.5703125" style="10" bestFit="1" customWidth="1"/>
    <col min="12588" max="12800" width="9.140625" style="10"/>
    <col min="12801" max="12801" width="20.7109375" style="10" customWidth="1"/>
    <col min="12802" max="12821" width="0" style="10" hidden="1" customWidth="1"/>
    <col min="12822" max="12822" width="8.5703125" style="10" customWidth="1"/>
    <col min="12823" max="12827" width="7.5703125" style="10" customWidth="1"/>
    <col min="12828" max="12828" width="8.140625" style="10" customWidth="1"/>
    <col min="12829" max="12843" width="7.5703125" style="10" bestFit="1" customWidth="1"/>
    <col min="12844" max="13056" width="9.140625" style="10"/>
    <col min="13057" max="13057" width="20.7109375" style="10" customWidth="1"/>
    <col min="13058" max="13077" width="0" style="10" hidden="1" customWidth="1"/>
    <col min="13078" max="13078" width="8.5703125" style="10" customWidth="1"/>
    <col min="13079" max="13083" width="7.5703125" style="10" customWidth="1"/>
    <col min="13084" max="13084" width="8.140625" style="10" customWidth="1"/>
    <col min="13085" max="13099" width="7.5703125" style="10" bestFit="1" customWidth="1"/>
    <col min="13100" max="13312" width="9.140625" style="10"/>
    <col min="13313" max="13313" width="20.7109375" style="10" customWidth="1"/>
    <col min="13314" max="13333" width="0" style="10" hidden="1" customWidth="1"/>
    <col min="13334" max="13334" width="8.5703125" style="10" customWidth="1"/>
    <col min="13335" max="13339" width="7.5703125" style="10" customWidth="1"/>
    <col min="13340" max="13340" width="8.140625" style="10" customWidth="1"/>
    <col min="13341" max="13355" width="7.5703125" style="10" bestFit="1" customWidth="1"/>
    <col min="13356" max="13568" width="9.140625" style="10"/>
    <col min="13569" max="13569" width="20.7109375" style="10" customWidth="1"/>
    <col min="13570" max="13589" width="0" style="10" hidden="1" customWidth="1"/>
    <col min="13590" max="13590" width="8.5703125" style="10" customWidth="1"/>
    <col min="13591" max="13595" width="7.5703125" style="10" customWidth="1"/>
    <col min="13596" max="13596" width="8.140625" style="10" customWidth="1"/>
    <col min="13597" max="13611" width="7.5703125" style="10" bestFit="1" customWidth="1"/>
    <col min="13612" max="13824" width="9.140625" style="10"/>
    <col min="13825" max="13825" width="20.7109375" style="10" customWidth="1"/>
    <col min="13826" max="13845" width="0" style="10" hidden="1" customWidth="1"/>
    <col min="13846" max="13846" width="8.5703125" style="10" customWidth="1"/>
    <col min="13847" max="13851" width="7.5703125" style="10" customWidth="1"/>
    <col min="13852" max="13852" width="8.140625" style="10" customWidth="1"/>
    <col min="13853" max="13867" width="7.5703125" style="10" bestFit="1" customWidth="1"/>
    <col min="13868" max="14080" width="9.140625" style="10"/>
    <col min="14081" max="14081" width="20.7109375" style="10" customWidth="1"/>
    <col min="14082" max="14101" width="0" style="10" hidden="1" customWidth="1"/>
    <col min="14102" max="14102" width="8.5703125" style="10" customWidth="1"/>
    <col min="14103" max="14107" width="7.5703125" style="10" customWidth="1"/>
    <col min="14108" max="14108" width="8.140625" style="10" customWidth="1"/>
    <col min="14109" max="14123" width="7.5703125" style="10" bestFit="1" customWidth="1"/>
    <col min="14124" max="14336" width="9.140625" style="10"/>
    <col min="14337" max="14337" width="20.7109375" style="10" customWidth="1"/>
    <col min="14338" max="14357" width="0" style="10" hidden="1" customWidth="1"/>
    <col min="14358" max="14358" width="8.5703125" style="10" customWidth="1"/>
    <col min="14359" max="14363" width="7.5703125" style="10" customWidth="1"/>
    <col min="14364" max="14364" width="8.140625" style="10" customWidth="1"/>
    <col min="14365" max="14379" width="7.5703125" style="10" bestFit="1" customWidth="1"/>
    <col min="14380" max="14592" width="9.140625" style="10"/>
    <col min="14593" max="14593" width="20.7109375" style="10" customWidth="1"/>
    <col min="14594" max="14613" width="0" style="10" hidden="1" customWidth="1"/>
    <col min="14614" max="14614" width="8.5703125" style="10" customWidth="1"/>
    <col min="14615" max="14619" width="7.5703125" style="10" customWidth="1"/>
    <col min="14620" max="14620" width="8.140625" style="10" customWidth="1"/>
    <col min="14621" max="14635" width="7.5703125" style="10" bestFit="1" customWidth="1"/>
    <col min="14636" max="14848" width="9.140625" style="10"/>
    <col min="14849" max="14849" width="20.7109375" style="10" customWidth="1"/>
    <col min="14850" max="14869" width="0" style="10" hidden="1" customWidth="1"/>
    <col min="14870" max="14870" width="8.5703125" style="10" customWidth="1"/>
    <col min="14871" max="14875" width="7.5703125" style="10" customWidth="1"/>
    <col min="14876" max="14876" width="8.140625" style="10" customWidth="1"/>
    <col min="14877" max="14891" width="7.5703125" style="10" bestFit="1" customWidth="1"/>
    <col min="14892" max="15104" width="9.140625" style="10"/>
    <col min="15105" max="15105" width="20.7109375" style="10" customWidth="1"/>
    <col min="15106" max="15125" width="0" style="10" hidden="1" customWidth="1"/>
    <col min="15126" max="15126" width="8.5703125" style="10" customWidth="1"/>
    <col min="15127" max="15131" width="7.5703125" style="10" customWidth="1"/>
    <col min="15132" max="15132" width="8.140625" style="10" customWidth="1"/>
    <col min="15133" max="15147" width="7.5703125" style="10" bestFit="1" customWidth="1"/>
    <col min="15148" max="15360" width="9.140625" style="10"/>
    <col min="15361" max="15361" width="20.7109375" style="10" customWidth="1"/>
    <col min="15362" max="15381" width="0" style="10" hidden="1" customWidth="1"/>
    <col min="15382" max="15382" width="8.5703125" style="10" customWidth="1"/>
    <col min="15383" max="15387" width="7.5703125" style="10" customWidth="1"/>
    <col min="15388" max="15388" width="8.140625" style="10" customWidth="1"/>
    <col min="15389" max="15403" width="7.5703125" style="10" bestFit="1" customWidth="1"/>
    <col min="15404" max="15616" width="9.140625" style="10"/>
    <col min="15617" max="15617" width="20.7109375" style="10" customWidth="1"/>
    <col min="15618" max="15637" width="0" style="10" hidden="1" customWidth="1"/>
    <col min="15638" max="15638" width="8.5703125" style="10" customWidth="1"/>
    <col min="15639" max="15643" width="7.5703125" style="10" customWidth="1"/>
    <col min="15644" max="15644" width="8.140625" style="10" customWidth="1"/>
    <col min="15645" max="15659" width="7.5703125" style="10" bestFit="1" customWidth="1"/>
    <col min="15660" max="15872" width="9.140625" style="10"/>
    <col min="15873" max="15873" width="20.7109375" style="10" customWidth="1"/>
    <col min="15874" max="15893" width="0" style="10" hidden="1" customWidth="1"/>
    <col min="15894" max="15894" width="8.5703125" style="10" customWidth="1"/>
    <col min="15895" max="15899" width="7.5703125" style="10" customWidth="1"/>
    <col min="15900" max="15900" width="8.140625" style="10" customWidth="1"/>
    <col min="15901" max="15915" width="7.5703125" style="10" bestFit="1" customWidth="1"/>
    <col min="15916" max="16128" width="9.140625" style="10"/>
    <col min="16129" max="16133" width="7.5703125" style="10" customWidth="1"/>
    <col min="16134" max="16134" width="8.140625" style="10" customWidth="1"/>
    <col min="16135" max="16149" width="7.5703125" style="10" bestFit="1" customWidth="1"/>
    <col min="16150" max="16362" width="9.140625" style="10"/>
    <col min="16363" max="16384" width="9.140625" style="10" customWidth="1"/>
  </cols>
  <sheetData>
    <row r="1" spans="1:46" x14ac:dyDescent="0.2">
      <c r="A1" s="76" t="s">
        <v>400</v>
      </c>
      <c r="B1" s="76"/>
      <c r="C1" s="76"/>
      <c r="D1" s="76"/>
      <c r="E1" s="76"/>
      <c r="F1" s="76"/>
      <c r="G1" s="76"/>
      <c r="H1" s="12"/>
      <c r="I1" s="76"/>
      <c r="J1" s="76"/>
      <c r="K1" s="76"/>
      <c r="L1" s="12"/>
      <c r="M1" s="12"/>
      <c r="N1" s="12"/>
      <c r="O1" s="12"/>
      <c r="P1" s="12"/>
      <c r="Q1" s="12"/>
      <c r="R1" s="12"/>
      <c r="S1" s="12"/>
      <c r="T1" s="12"/>
      <c r="AC1" s="21"/>
      <c r="AD1" s="21"/>
      <c r="AE1" s="21"/>
      <c r="AF1" s="21"/>
      <c r="AG1" s="21"/>
      <c r="AH1" s="21"/>
      <c r="AI1" s="21"/>
      <c r="AJ1" s="21"/>
    </row>
    <row r="2" spans="1:46" ht="22.5" x14ac:dyDescent="0.2">
      <c r="A2" s="204" t="s">
        <v>297</v>
      </c>
      <c r="B2" s="204" t="s">
        <v>199</v>
      </c>
      <c r="C2" s="204" t="s">
        <v>200</v>
      </c>
      <c r="D2" s="204" t="s">
        <v>201</v>
      </c>
      <c r="E2" s="204" t="s">
        <v>202</v>
      </c>
      <c r="F2" s="204" t="s">
        <v>203</v>
      </c>
      <c r="G2" s="204" t="s">
        <v>204</v>
      </c>
      <c r="H2" s="204" t="s">
        <v>205</v>
      </c>
      <c r="I2" s="205" t="s">
        <v>206</v>
      </c>
      <c r="J2" s="205" t="s">
        <v>207</v>
      </c>
      <c r="K2" s="205" t="s">
        <v>208</v>
      </c>
      <c r="L2" s="205" t="s">
        <v>209</v>
      </c>
      <c r="M2" s="205" t="s">
        <v>210</v>
      </c>
      <c r="N2" s="205" t="s">
        <v>211</v>
      </c>
      <c r="O2" s="205" t="s">
        <v>212</v>
      </c>
      <c r="P2" s="205" t="s">
        <v>213</v>
      </c>
      <c r="Q2" s="205" t="s">
        <v>214</v>
      </c>
      <c r="R2" s="205" t="s">
        <v>215</v>
      </c>
      <c r="S2" s="205" t="s">
        <v>216</v>
      </c>
      <c r="T2" s="205" t="s">
        <v>217</v>
      </c>
      <c r="U2" s="17" t="s">
        <v>291</v>
      </c>
      <c r="V2" s="17" t="s">
        <v>292</v>
      </c>
      <c r="W2" s="17" t="s">
        <v>293</v>
      </c>
      <c r="X2" s="17" t="s">
        <v>294</v>
      </c>
      <c r="Y2" s="17" t="s">
        <v>222</v>
      </c>
      <c r="Z2" s="17" t="s">
        <v>223</v>
      </c>
      <c r="AA2" s="17" t="s">
        <v>224</v>
      </c>
      <c r="AB2" s="17" t="s">
        <v>225</v>
      </c>
      <c r="AC2" s="17" t="s">
        <v>226</v>
      </c>
      <c r="AD2" s="17" t="s">
        <v>227</v>
      </c>
      <c r="AE2" s="17" t="s">
        <v>228</v>
      </c>
      <c r="AF2" s="17" t="s">
        <v>229</v>
      </c>
      <c r="AG2" s="17" t="s">
        <v>230</v>
      </c>
      <c r="AH2" s="17" t="s">
        <v>231</v>
      </c>
      <c r="AI2" s="17" t="s">
        <v>232</v>
      </c>
      <c r="AJ2" s="17" t="s">
        <v>233</v>
      </c>
      <c r="AK2" s="17" t="s">
        <v>234</v>
      </c>
      <c r="AL2" s="17" t="s">
        <v>235</v>
      </c>
      <c r="AM2" s="17" t="s">
        <v>236</v>
      </c>
      <c r="AN2" s="17" t="s">
        <v>237</v>
      </c>
      <c r="AO2" s="17" t="s">
        <v>238</v>
      </c>
      <c r="AP2" s="17" t="s">
        <v>239</v>
      </c>
      <c r="AQ2" s="17" t="s">
        <v>348</v>
      </c>
      <c r="AR2" s="17" t="s">
        <v>379</v>
      </c>
      <c r="AS2" s="169" t="s">
        <v>378</v>
      </c>
      <c r="AT2" s="169" t="s">
        <v>377</v>
      </c>
    </row>
    <row r="3" spans="1:46" x14ac:dyDescent="0.2">
      <c r="A3" s="12" t="s">
        <v>410</v>
      </c>
      <c r="B3" s="12"/>
      <c r="C3" s="12"/>
      <c r="D3" s="12"/>
      <c r="E3" s="12"/>
      <c r="F3" s="12"/>
      <c r="G3" s="12"/>
      <c r="H3" s="18"/>
      <c r="I3" s="19"/>
      <c r="J3" s="19"/>
      <c r="K3" s="19"/>
      <c r="N3" s="19"/>
      <c r="O3" s="19"/>
      <c r="P3" s="19"/>
      <c r="Q3" s="19"/>
      <c r="R3" s="19"/>
      <c r="S3" s="19"/>
      <c r="T3" s="19"/>
      <c r="U3" s="20"/>
      <c r="AC3" s="21"/>
      <c r="AD3" s="21"/>
      <c r="AE3" s="21"/>
      <c r="AF3" s="21"/>
      <c r="AG3" s="21"/>
      <c r="AH3" s="21"/>
      <c r="AI3" s="21"/>
      <c r="AJ3" s="21"/>
    </row>
    <row r="4" spans="1:46" x14ac:dyDescent="0.2">
      <c r="A4" s="12" t="s">
        <v>298</v>
      </c>
      <c r="B4" s="12"/>
      <c r="C4" s="12"/>
      <c r="D4" s="12"/>
      <c r="E4" s="12"/>
      <c r="F4" s="12"/>
      <c r="G4" s="12"/>
      <c r="H4" s="12"/>
      <c r="I4" s="12"/>
      <c r="J4" s="12"/>
      <c r="K4" s="12"/>
      <c r="L4" s="12"/>
      <c r="M4" s="12"/>
      <c r="N4" s="22"/>
      <c r="O4" s="22"/>
      <c r="P4" s="23"/>
      <c r="Q4" s="22"/>
      <c r="R4" s="22"/>
      <c r="S4" s="12"/>
      <c r="T4" s="12"/>
      <c r="AB4" s="24"/>
      <c r="AC4" s="24"/>
      <c r="AD4" s="24"/>
      <c r="AE4" s="24"/>
      <c r="AF4" s="24"/>
      <c r="AG4" s="24"/>
      <c r="AH4" s="24"/>
      <c r="AI4" s="24"/>
      <c r="AJ4" s="24"/>
    </row>
    <row r="5" spans="1:46" x14ac:dyDescent="0.2">
      <c r="A5" s="12" t="s">
        <v>299</v>
      </c>
      <c r="B5" s="25">
        <v>99</v>
      </c>
      <c r="C5" s="25">
        <v>102</v>
      </c>
      <c r="D5" s="25">
        <v>97.5</v>
      </c>
      <c r="E5" s="25">
        <v>106</v>
      </c>
      <c r="F5" s="25">
        <v>110</v>
      </c>
      <c r="G5" s="25">
        <v>124</v>
      </c>
      <c r="H5" s="25">
        <v>137</v>
      </c>
      <c r="I5" s="25">
        <v>144</v>
      </c>
      <c r="J5" s="25">
        <v>152</v>
      </c>
      <c r="K5" s="25">
        <v>154</v>
      </c>
      <c r="L5" s="25">
        <v>160</v>
      </c>
      <c r="M5" s="25">
        <v>171</v>
      </c>
      <c r="N5" s="25">
        <v>179</v>
      </c>
      <c r="O5" s="25">
        <v>189</v>
      </c>
      <c r="P5" s="25">
        <v>195</v>
      </c>
      <c r="Q5" s="25">
        <v>190</v>
      </c>
      <c r="R5" s="25">
        <v>153</v>
      </c>
      <c r="S5" s="25">
        <v>163</v>
      </c>
      <c r="T5" s="25">
        <v>177</v>
      </c>
      <c r="U5" s="141">
        <v>194</v>
      </c>
      <c r="V5" s="141">
        <v>189</v>
      </c>
      <c r="W5" s="141">
        <v>180</v>
      </c>
      <c r="X5" s="141">
        <v>179</v>
      </c>
      <c r="Y5" s="141">
        <v>179</v>
      </c>
      <c r="Z5" s="141">
        <v>165</v>
      </c>
      <c r="AA5" s="141">
        <v>154</v>
      </c>
      <c r="AB5" s="141">
        <v>155</v>
      </c>
      <c r="AC5" s="141">
        <v>150</v>
      </c>
      <c r="AD5" s="141">
        <v>137</v>
      </c>
      <c r="AE5" s="141">
        <v>138</v>
      </c>
      <c r="AF5" s="141">
        <v>147</v>
      </c>
      <c r="AG5" s="141">
        <v>153</v>
      </c>
      <c r="AH5" s="141">
        <v>154</v>
      </c>
      <c r="AI5" s="141">
        <v>154</v>
      </c>
      <c r="AJ5" s="141">
        <v>151</v>
      </c>
      <c r="AK5" s="141">
        <v>152</v>
      </c>
      <c r="AL5" s="141">
        <v>151</v>
      </c>
      <c r="AM5" s="141">
        <v>144</v>
      </c>
      <c r="AN5" s="141">
        <v>151</v>
      </c>
      <c r="AO5" s="141">
        <v>146</v>
      </c>
      <c r="AP5" s="141">
        <v>157</v>
      </c>
      <c r="AQ5" s="141">
        <v>155</v>
      </c>
      <c r="AR5" s="141">
        <v>139</v>
      </c>
      <c r="AS5" s="141">
        <v>133.1</v>
      </c>
      <c r="AT5" s="141">
        <v>135.19999999999999</v>
      </c>
    </row>
    <row r="6" spans="1:46" x14ac:dyDescent="0.2">
      <c r="A6" s="12" t="s">
        <v>300</v>
      </c>
      <c r="B6" s="25">
        <v>18.3</v>
      </c>
      <c r="C6" s="25">
        <v>15.5</v>
      </c>
      <c r="D6" s="25" t="s">
        <v>152</v>
      </c>
      <c r="E6" s="25">
        <v>13.4</v>
      </c>
      <c r="F6" s="25">
        <v>11.8</v>
      </c>
      <c r="G6" s="25">
        <v>13.1</v>
      </c>
      <c r="H6" s="25">
        <v>15.6</v>
      </c>
      <c r="I6" s="25">
        <v>16.8</v>
      </c>
      <c r="J6" s="25">
        <v>17.3</v>
      </c>
      <c r="K6" s="25">
        <v>13.6</v>
      </c>
      <c r="L6" s="25">
        <v>20</v>
      </c>
      <c r="M6" s="25">
        <v>20.3</v>
      </c>
      <c r="N6" s="25">
        <v>21.2</v>
      </c>
      <c r="O6" s="25">
        <v>19.100000000000001</v>
      </c>
      <c r="P6" s="25">
        <v>17</v>
      </c>
      <c r="Q6" s="25">
        <v>16.3</v>
      </c>
      <c r="R6" s="25">
        <v>4.9000000000000004</v>
      </c>
      <c r="S6" s="25">
        <v>0.9</v>
      </c>
      <c r="T6" s="25">
        <v>1.3</v>
      </c>
      <c r="U6" s="141">
        <v>1.8</v>
      </c>
      <c r="V6" s="141">
        <v>1.2</v>
      </c>
      <c r="W6" s="141">
        <v>0.8</v>
      </c>
      <c r="X6" s="141">
        <v>1.9</v>
      </c>
      <c r="Y6" s="141">
        <v>2</v>
      </c>
      <c r="Z6" s="141">
        <v>1.9</v>
      </c>
      <c r="AA6" s="141">
        <v>0</v>
      </c>
      <c r="AB6" s="141">
        <v>0</v>
      </c>
      <c r="AC6" s="141">
        <v>0</v>
      </c>
      <c r="AD6" s="141">
        <v>0</v>
      </c>
      <c r="AE6" s="141">
        <v>0</v>
      </c>
      <c r="AF6" s="141">
        <v>0</v>
      </c>
      <c r="AG6" s="141">
        <v>0</v>
      </c>
      <c r="AH6" s="141">
        <v>0</v>
      </c>
      <c r="AI6" s="141">
        <v>0</v>
      </c>
      <c r="AJ6" s="141">
        <v>0</v>
      </c>
      <c r="AK6" s="141">
        <v>0</v>
      </c>
      <c r="AL6" s="141">
        <v>0</v>
      </c>
      <c r="AM6" s="141">
        <v>0</v>
      </c>
      <c r="AN6" s="141">
        <v>0</v>
      </c>
      <c r="AO6" s="141">
        <v>0</v>
      </c>
      <c r="AP6" s="141">
        <v>0</v>
      </c>
      <c r="AQ6" s="141">
        <v>0</v>
      </c>
      <c r="AR6" s="141">
        <v>0</v>
      </c>
      <c r="AS6" s="141">
        <v>0</v>
      </c>
      <c r="AT6" s="141">
        <v>0</v>
      </c>
    </row>
    <row r="7" spans="1:46" x14ac:dyDescent="0.2">
      <c r="A7" s="12" t="s">
        <v>301</v>
      </c>
      <c r="B7" s="25">
        <f>B5+B6</f>
        <v>117.3</v>
      </c>
      <c r="C7" s="25">
        <f>C5+C6</f>
        <v>117.5</v>
      </c>
      <c r="D7" s="25">
        <f>D5</f>
        <v>97.5</v>
      </c>
      <c r="E7" s="25">
        <f t="shared" ref="E7:AQ7" si="0">E5+E6</f>
        <v>119.4</v>
      </c>
      <c r="F7" s="25">
        <f t="shared" si="0"/>
        <v>121.8</v>
      </c>
      <c r="G7" s="25">
        <f t="shared" si="0"/>
        <v>137.1</v>
      </c>
      <c r="H7" s="25">
        <f t="shared" si="0"/>
        <v>152.6</v>
      </c>
      <c r="I7" s="25">
        <f t="shared" si="0"/>
        <v>160.80000000000001</v>
      </c>
      <c r="J7" s="25">
        <f t="shared" si="0"/>
        <v>169.3</v>
      </c>
      <c r="K7" s="25">
        <f t="shared" si="0"/>
        <v>167.6</v>
      </c>
      <c r="L7" s="25">
        <f t="shared" si="0"/>
        <v>180</v>
      </c>
      <c r="M7" s="25">
        <f t="shared" si="0"/>
        <v>191.3</v>
      </c>
      <c r="N7" s="25">
        <f t="shared" si="0"/>
        <v>200.2</v>
      </c>
      <c r="O7" s="25">
        <f t="shared" si="0"/>
        <v>208.1</v>
      </c>
      <c r="P7" s="25">
        <f t="shared" si="0"/>
        <v>212</v>
      </c>
      <c r="Q7" s="25">
        <f t="shared" si="0"/>
        <v>206.3</v>
      </c>
      <c r="R7" s="25">
        <f t="shared" si="0"/>
        <v>157.9</v>
      </c>
      <c r="S7" s="25">
        <f t="shared" si="0"/>
        <v>163.9</v>
      </c>
      <c r="T7" s="25">
        <f t="shared" si="0"/>
        <v>178.3</v>
      </c>
      <c r="U7" s="25">
        <f t="shared" si="0"/>
        <v>195.8</v>
      </c>
      <c r="V7" s="25">
        <f t="shared" si="0"/>
        <v>190.2</v>
      </c>
      <c r="W7" s="25">
        <f t="shared" si="0"/>
        <v>180.8</v>
      </c>
      <c r="X7" s="25">
        <f t="shared" si="0"/>
        <v>180.9</v>
      </c>
      <c r="Y7" s="25">
        <f t="shared" si="0"/>
        <v>181</v>
      </c>
      <c r="Z7" s="25">
        <f t="shared" si="0"/>
        <v>166.9</v>
      </c>
      <c r="AA7" s="25">
        <f t="shared" si="0"/>
        <v>154</v>
      </c>
      <c r="AB7" s="25">
        <f t="shared" si="0"/>
        <v>155</v>
      </c>
      <c r="AC7" s="25">
        <f t="shared" si="0"/>
        <v>150</v>
      </c>
      <c r="AD7" s="25">
        <f t="shared" si="0"/>
        <v>137</v>
      </c>
      <c r="AE7" s="25">
        <f t="shared" si="0"/>
        <v>138</v>
      </c>
      <c r="AF7" s="25">
        <f t="shared" si="0"/>
        <v>147</v>
      </c>
      <c r="AG7" s="25">
        <f t="shared" si="0"/>
        <v>153</v>
      </c>
      <c r="AH7" s="25">
        <f t="shared" si="0"/>
        <v>154</v>
      </c>
      <c r="AI7" s="25">
        <f t="shared" si="0"/>
        <v>154</v>
      </c>
      <c r="AJ7" s="25">
        <f t="shared" si="0"/>
        <v>151</v>
      </c>
      <c r="AK7" s="25">
        <f t="shared" si="0"/>
        <v>152</v>
      </c>
      <c r="AL7" s="25">
        <f t="shared" si="0"/>
        <v>151</v>
      </c>
      <c r="AM7" s="25">
        <f t="shared" si="0"/>
        <v>144</v>
      </c>
      <c r="AN7" s="141">
        <f t="shared" si="0"/>
        <v>151</v>
      </c>
      <c r="AO7" s="141">
        <f t="shared" si="0"/>
        <v>146</v>
      </c>
      <c r="AP7" s="25">
        <f t="shared" si="0"/>
        <v>157</v>
      </c>
      <c r="AQ7" s="25">
        <f t="shared" si="0"/>
        <v>155</v>
      </c>
      <c r="AR7" s="25">
        <f>AR5+AR6</f>
        <v>139</v>
      </c>
      <c r="AS7" s="25">
        <f>AS5+AS6</f>
        <v>133.1</v>
      </c>
      <c r="AT7" s="141">
        <f>AT5+AT6</f>
        <v>135.19999999999999</v>
      </c>
    </row>
    <row r="8" spans="1:46" x14ac:dyDescent="0.2">
      <c r="A8" s="12"/>
      <c r="B8" s="25"/>
      <c r="C8" s="25"/>
      <c r="D8" s="25"/>
      <c r="E8" s="25"/>
      <c r="F8" s="25"/>
      <c r="G8" s="25"/>
      <c r="H8" s="25"/>
      <c r="I8" s="25"/>
      <c r="J8" s="25"/>
      <c r="K8" s="25"/>
      <c r="L8" s="25"/>
      <c r="M8" s="25"/>
      <c r="N8" s="25"/>
      <c r="O8" s="25"/>
      <c r="P8" s="25"/>
      <c r="Q8" s="25"/>
      <c r="R8" s="25"/>
      <c r="S8" s="25"/>
      <c r="T8" s="25"/>
      <c r="U8" s="141"/>
      <c r="V8" s="141"/>
      <c r="W8" s="141"/>
      <c r="X8" s="141"/>
      <c r="Y8" s="141"/>
      <c r="Z8" s="141"/>
      <c r="AA8" s="141"/>
      <c r="AB8" s="141"/>
      <c r="AC8" s="141"/>
      <c r="AD8" s="141"/>
      <c r="AE8" s="141"/>
      <c r="AF8" s="141"/>
      <c r="AG8" s="141"/>
      <c r="AH8" s="141"/>
      <c r="AI8" s="141"/>
      <c r="AJ8" s="141"/>
      <c r="AK8" s="141"/>
      <c r="AL8" s="141"/>
      <c r="AM8" s="141"/>
      <c r="AN8" s="141"/>
      <c r="AO8" s="141"/>
      <c r="AP8" s="141"/>
      <c r="AQ8" s="141"/>
      <c r="AR8" s="141"/>
      <c r="AS8" s="141"/>
      <c r="AT8" s="141"/>
    </row>
    <row r="9" spans="1:46" x14ac:dyDescent="0.2">
      <c r="A9" s="12" t="s">
        <v>302</v>
      </c>
      <c r="B9" s="25"/>
      <c r="C9" s="25"/>
      <c r="D9" s="25"/>
      <c r="E9" s="25"/>
      <c r="F9" s="25"/>
      <c r="G9" s="25"/>
      <c r="H9" s="25"/>
      <c r="I9" s="25"/>
      <c r="J9" s="25"/>
      <c r="K9" s="25"/>
      <c r="L9" s="25"/>
      <c r="M9" s="25"/>
      <c r="N9" s="25"/>
      <c r="O9" s="25"/>
      <c r="P9" s="25"/>
      <c r="Q9" s="25"/>
      <c r="R9" s="25"/>
      <c r="S9" s="25"/>
      <c r="T9" s="25"/>
      <c r="U9" s="141"/>
      <c r="V9" s="141"/>
      <c r="W9" s="141"/>
      <c r="X9" s="141"/>
      <c r="Y9" s="141"/>
      <c r="Z9" s="141"/>
      <c r="AA9" s="141"/>
      <c r="AB9" s="141"/>
      <c r="AC9" s="141"/>
      <c r="AD9" s="141"/>
      <c r="AE9" s="141"/>
      <c r="AF9" s="141"/>
      <c r="AG9" s="141"/>
      <c r="AH9" s="141"/>
      <c r="AI9" s="141"/>
      <c r="AJ9" s="141"/>
      <c r="AK9" s="141"/>
      <c r="AL9" s="141"/>
      <c r="AM9" s="141"/>
      <c r="AN9" s="141"/>
      <c r="AO9" s="141"/>
      <c r="AP9" s="141"/>
      <c r="AQ9" s="141"/>
      <c r="AR9" s="141"/>
      <c r="AS9" s="141"/>
      <c r="AT9" s="141"/>
    </row>
    <row r="10" spans="1:46" x14ac:dyDescent="0.2">
      <c r="A10" s="12" t="s">
        <v>303</v>
      </c>
      <c r="B10" s="25">
        <v>260</v>
      </c>
      <c r="C10" s="25">
        <v>259</v>
      </c>
      <c r="D10" s="25">
        <v>253</v>
      </c>
      <c r="E10" s="25">
        <v>262</v>
      </c>
      <c r="F10" s="25">
        <v>268</v>
      </c>
      <c r="G10" s="25">
        <v>278</v>
      </c>
      <c r="H10" s="25">
        <v>315</v>
      </c>
      <c r="I10" s="25">
        <v>311</v>
      </c>
      <c r="J10" s="25">
        <v>339</v>
      </c>
      <c r="K10" s="25">
        <v>342</v>
      </c>
      <c r="L10" s="25">
        <v>368</v>
      </c>
      <c r="M10" s="25">
        <v>369</v>
      </c>
      <c r="N10" s="25">
        <v>372</v>
      </c>
      <c r="O10" s="25">
        <v>390</v>
      </c>
      <c r="P10" s="25">
        <v>415</v>
      </c>
      <c r="Q10" s="25">
        <v>427</v>
      </c>
      <c r="R10" s="25">
        <v>441</v>
      </c>
      <c r="S10" s="25">
        <v>453</v>
      </c>
      <c r="T10" s="25">
        <v>473</v>
      </c>
      <c r="U10" s="141">
        <v>480</v>
      </c>
      <c r="V10" s="141">
        <v>490</v>
      </c>
      <c r="W10" s="141">
        <v>468</v>
      </c>
      <c r="X10" s="141">
        <v>505</v>
      </c>
      <c r="Y10" s="141">
        <v>492</v>
      </c>
      <c r="Z10" s="141">
        <v>486</v>
      </c>
      <c r="AA10" s="141">
        <v>491</v>
      </c>
      <c r="AB10" s="141">
        <v>504</v>
      </c>
      <c r="AC10" s="141">
        <v>486</v>
      </c>
      <c r="AD10" s="141">
        <v>440</v>
      </c>
      <c r="AE10" s="141">
        <v>464</v>
      </c>
      <c r="AF10" s="141">
        <v>449</v>
      </c>
      <c r="AG10" s="141">
        <v>479</v>
      </c>
      <c r="AH10" s="141">
        <v>475</v>
      </c>
      <c r="AI10" s="141">
        <v>462</v>
      </c>
      <c r="AJ10" s="141">
        <v>440</v>
      </c>
      <c r="AK10" s="141">
        <v>443</v>
      </c>
      <c r="AL10" s="141">
        <v>437</v>
      </c>
      <c r="AM10" s="141">
        <v>420</v>
      </c>
      <c r="AN10" s="141">
        <v>415</v>
      </c>
      <c r="AO10" s="141">
        <v>425</v>
      </c>
      <c r="AP10" s="141">
        <v>433</v>
      </c>
      <c r="AQ10" s="141">
        <v>427</v>
      </c>
      <c r="AR10" s="141">
        <v>434</v>
      </c>
      <c r="AS10" s="141">
        <v>429.5</v>
      </c>
      <c r="AT10" s="141">
        <v>411</v>
      </c>
    </row>
    <row r="11" spans="1:46" x14ac:dyDescent="0.2">
      <c r="A11" s="12" t="s">
        <v>304</v>
      </c>
      <c r="B11" s="25">
        <v>147.6</v>
      </c>
      <c r="C11" s="25">
        <v>145.6</v>
      </c>
      <c r="D11" s="25">
        <v>145.69999999999999</v>
      </c>
      <c r="E11" s="25">
        <v>143.1</v>
      </c>
      <c r="F11" s="25">
        <v>139.80000000000001</v>
      </c>
      <c r="G11" s="25">
        <v>144.80000000000001</v>
      </c>
      <c r="H11" s="25">
        <v>164.8</v>
      </c>
      <c r="I11" s="25">
        <v>163.30000000000001</v>
      </c>
      <c r="J11" s="25">
        <v>177.8</v>
      </c>
      <c r="K11" s="25">
        <v>180.2</v>
      </c>
      <c r="L11" s="25">
        <v>193.9</v>
      </c>
      <c r="M11" s="25">
        <v>195</v>
      </c>
      <c r="N11" s="25">
        <v>195.5</v>
      </c>
      <c r="O11" s="25">
        <v>193.8</v>
      </c>
      <c r="P11" s="25">
        <v>205.8</v>
      </c>
      <c r="Q11" s="25">
        <v>207</v>
      </c>
      <c r="R11" s="25">
        <v>226.6</v>
      </c>
      <c r="S11" s="25">
        <v>231.4</v>
      </c>
      <c r="T11" s="25">
        <v>250</v>
      </c>
      <c r="U11" s="141">
        <v>251.6</v>
      </c>
      <c r="V11" s="141">
        <v>258</v>
      </c>
      <c r="W11" s="141">
        <v>261</v>
      </c>
      <c r="X11" s="141">
        <v>265</v>
      </c>
      <c r="Y11" s="141">
        <v>259</v>
      </c>
      <c r="Z11" s="141">
        <v>256</v>
      </c>
      <c r="AA11" s="141">
        <v>255</v>
      </c>
      <c r="AB11" s="141">
        <v>261</v>
      </c>
      <c r="AC11" s="141">
        <v>252</v>
      </c>
      <c r="AD11" s="141">
        <v>208</v>
      </c>
      <c r="AE11" s="141">
        <v>225</v>
      </c>
      <c r="AF11" s="141">
        <v>217</v>
      </c>
      <c r="AG11" s="141">
        <v>231</v>
      </c>
      <c r="AH11" s="141">
        <v>222</v>
      </c>
      <c r="AI11" s="141">
        <v>227</v>
      </c>
      <c r="AJ11" s="141">
        <v>215</v>
      </c>
      <c r="AK11" s="141">
        <v>208</v>
      </c>
      <c r="AL11" s="141">
        <v>213</v>
      </c>
      <c r="AM11" s="141">
        <v>214</v>
      </c>
      <c r="AN11" s="141">
        <v>202</v>
      </c>
      <c r="AO11" s="141">
        <v>212</v>
      </c>
      <c r="AP11" s="141">
        <v>221</v>
      </c>
      <c r="AQ11" s="141">
        <v>226</v>
      </c>
      <c r="AR11" s="141">
        <v>251</v>
      </c>
      <c r="AS11" s="141">
        <v>228.8</v>
      </c>
      <c r="AT11" s="141">
        <v>215.8</v>
      </c>
    </row>
    <row r="12" spans="1:46" x14ac:dyDescent="0.2">
      <c r="A12" s="12" t="s">
        <v>301</v>
      </c>
      <c r="B12" s="25">
        <f>SUM(B10:B11)</f>
        <v>407.6</v>
      </c>
      <c r="C12" s="25">
        <f t="shared" ref="C12:AO12" si="1">SUM(C10:C11)</f>
        <v>404.6</v>
      </c>
      <c r="D12" s="25">
        <f t="shared" si="1"/>
        <v>398.7</v>
      </c>
      <c r="E12" s="25">
        <f t="shared" si="1"/>
        <v>405.1</v>
      </c>
      <c r="F12" s="25">
        <f t="shared" si="1"/>
        <v>407.8</v>
      </c>
      <c r="G12" s="25">
        <f t="shared" si="1"/>
        <v>422.8</v>
      </c>
      <c r="H12" s="25">
        <f t="shared" si="1"/>
        <v>479.8</v>
      </c>
      <c r="I12" s="25">
        <f t="shared" si="1"/>
        <v>474.3</v>
      </c>
      <c r="J12" s="25">
        <f t="shared" si="1"/>
        <v>516.79999999999995</v>
      </c>
      <c r="K12" s="25">
        <f t="shared" si="1"/>
        <v>522.20000000000005</v>
      </c>
      <c r="L12" s="25">
        <f t="shared" si="1"/>
        <v>561.9</v>
      </c>
      <c r="M12" s="25">
        <f t="shared" si="1"/>
        <v>564</v>
      </c>
      <c r="N12" s="25">
        <f t="shared" si="1"/>
        <v>567.5</v>
      </c>
      <c r="O12" s="25">
        <f t="shared" si="1"/>
        <v>583.79999999999995</v>
      </c>
      <c r="P12" s="25">
        <f t="shared" si="1"/>
        <v>620.79999999999995</v>
      </c>
      <c r="Q12" s="25">
        <f t="shared" si="1"/>
        <v>634</v>
      </c>
      <c r="R12" s="25">
        <f t="shared" si="1"/>
        <v>667.6</v>
      </c>
      <c r="S12" s="25">
        <f t="shared" si="1"/>
        <v>684.4</v>
      </c>
      <c r="T12" s="25">
        <f t="shared" si="1"/>
        <v>723</v>
      </c>
      <c r="U12" s="25">
        <f t="shared" si="1"/>
        <v>731.6</v>
      </c>
      <c r="V12" s="25">
        <f t="shared" si="1"/>
        <v>748</v>
      </c>
      <c r="W12" s="25">
        <f t="shared" si="1"/>
        <v>729</v>
      </c>
      <c r="X12" s="25">
        <f t="shared" si="1"/>
        <v>770</v>
      </c>
      <c r="Y12" s="25">
        <f t="shared" si="1"/>
        <v>751</v>
      </c>
      <c r="Z12" s="25">
        <f t="shared" si="1"/>
        <v>742</v>
      </c>
      <c r="AA12" s="25">
        <f t="shared" si="1"/>
        <v>746</v>
      </c>
      <c r="AB12" s="25">
        <f t="shared" si="1"/>
        <v>765</v>
      </c>
      <c r="AC12" s="25">
        <f t="shared" si="1"/>
        <v>738</v>
      </c>
      <c r="AD12" s="25">
        <f t="shared" si="1"/>
        <v>648</v>
      </c>
      <c r="AE12" s="25">
        <f t="shared" si="1"/>
        <v>689</v>
      </c>
      <c r="AF12" s="25">
        <f t="shared" si="1"/>
        <v>666</v>
      </c>
      <c r="AG12" s="25">
        <f t="shared" si="1"/>
        <v>710</v>
      </c>
      <c r="AH12" s="25">
        <f t="shared" si="1"/>
        <v>697</v>
      </c>
      <c r="AI12" s="25">
        <f t="shared" si="1"/>
        <v>689</v>
      </c>
      <c r="AJ12" s="25">
        <f t="shared" si="1"/>
        <v>655</v>
      </c>
      <c r="AK12" s="25">
        <f t="shared" si="1"/>
        <v>651</v>
      </c>
      <c r="AL12" s="25">
        <f t="shared" si="1"/>
        <v>650</v>
      </c>
      <c r="AM12" s="25">
        <f t="shared" si="1"/>
        <v>634</v>
      </c>
      <c r="AN12" s="141">
        <f t="shared" si="1"/>
        <v>617</v>
      </c>
      <c r="AO12" s="141">
        <f t="shared" si="1"/>
        <v>637</v>
      </c>
      <c r="AP12" s="25">
        <f>SUM(AP10:AP11)</f>
        <v>654</v>
      </c>
      <c r="AQ12" s="25">
        <f t="shared" ref="AQ12" si="2">SUM(AQ10:AQ11)</f>
        <v>653</v>
      </c>
      <c r="AR12" s="25">
        <f>SUM(AR10:AR11)</f>
        <v>685</v>
      </c>
      <c r="AS12" s="25">
        <f>SUM(AS10:AS11)</f>
        <v>658.3</v>
      </c>
      <c r="AT12" s="141">
        <f>SUM(AT10:AT11)</f>
        <v>626.79999999999995</v>
      </c>
    </row>
    <row r="13" spans="1:46" x14ac:dyDescent="0.2">
      <c r="A13" s="12"/>
      <c r="B13" s="25"/>
      <c r="C13" s="25"/>
      <c r="D13" s="25"/>
      <c r="E13" s="25"/>
      <c r="F13" s="25"/>
      <c r="G13" s="25"/>
      <c r="H13" s="25"/>
      <c r="I13" s="25"/>
      <c r="J13" s="25"/>
      <c r="K13" s="25"/>
      <c r="L13" s="25"/>
      <c r="M13" s="25"/>
      <c r="N13" s="25"/>
      <c r="O13" s="25"/>
      <c r="P13" s="25"/>
      <c r="Q13" s="25"/>
      <c r="R13" s="25"/>
      <c r="S13" s="25"/>
      <c r="T13" s="25"/>
      <c r="U13" s="141"/>
      <c r="V13" s="141"/>
      <c r="W13" s="141"/>
      <c r="X13" s="141"/>
      <c r="Y13" s="141"/>
      <c r="Z13" s="141"/>
      <c r="AA13" s="141"/>
      <c r="AB13" s="141"/>
      <c r="AC13" s="141"/>
      <c r="AD13" s="141"/>
      <c r="AE13" s="141"/>
      <c r="AF13" s="141"/>
      <c r="AG13" s="141"/>
      <c r="AH13" s="141"/>
      <c r="AI13" s="141"/>
      <c r="AJ13" s="141"/>
      <c r="AK13" s="141"/>
      <c r="AL13" s="141"/>
      <c r="AM13" s="141"/>
      <c r="AN13" s="141"/>
      <c r="AO13" s="141"/>
      <c r="AP13" s="141"/>
      <c r="AQ13" s="141"/>
      <c r="AR13" s="141"/>
      <c r="AS13" s="141"/>
      <c r="AT13" s="141"/>
    </row>
    <row r="14" spans="1:46" x14ac:dyDescent="0.2">
      <c r="A14" s="12" t="s">
        <v>305</v>
      </c>
      <c r="B14" s="25"/>
      <c r="C14" s="25"/>
      <c r="D14" s="25"/>
      <c r="E14" s="25"/>
      <c r="F14" s="25"/>
      <c r="G14" s="25"/>
      <c r="H14" s="25"/>
      <c r="I14" s="25"/>
      <c r="J14" s="25"/>
      <c r="K14" s="25"/>
      <c r="L14" s="25"/>
      <c r="M14" s="25"/>
      <c r="N14" s="25"/>
      <c r="O14" s="25"/>
      <c r="P14" s="25"/>
      <c r="Q14" s="25"/>
      <c r="R14" s="25"/>
      <c r="S14" s="25"/>
      <c r="T14" s="25"/>
      <c r="U14" s="141"/>
      <c r="V14" s="141"/>
      <c r="W14" s="141"/>
      <c r="X14" s="141"/>
      <c r="Y14" s="141"/>
      <c r="Z14" s="141"/>
      <c r="AA14" s="141"/>
      <c r="AB14" s="141"/>
      <c r="AC14" s="141"/>
      <c r="AD14" s="141"/>
      <c r="AE14" s="141"/>
      <c r="AF14" s="141"/>
      <c r="AG14" s="141"/>
      <c r="AH14" s="141"/>
      <c r="AI14" s="141"/>
      <c r="AJ14" s="141"/>
      <c r="AK14" s="141"/>
      <c r="AL14" s="141"/>
      <c r="AM14" s="141"/>
      <c r="AN14" s="141"/>
      <c r="AO14" s="141"/>
      <c r="AP14" s="141"/>
      <c r="AQ14" s="141"/>
      <c r="AR14" s="141"/>
      <c r="AS14" s="141"/>
      <c r="AT14" s="141"/>
    </row>
    <row r="15" spans="1:46" x14ac:dyDescent="0.2">
      <c r="A15" s="12" t="s">
        <v>306</v>
      </c>
      <c r="B15" s="25">
        <v>94</v>
      </c>
      <c r="C15" s="25">
        <v>80</v>
      </c>
      <c r="D15" s="25">
        <v>50</v>
      </c>
      <c r="E15" s="25">
        <v>42</v>
      </c>
      <c r="F15" s="25">
        <v>48.3</v>
      </c>
      <c r="G15" s="25">
        <v>2.9</v>
      </c>
      <c r="H15" s="25">
        <v>37.799999999999997</v>
      </c>
      <c r="I15" s="25">
        <v>37.4</v>
      </c>
      <c r="J15" s="25">
        <v>39.1</v>
      </c>
      <c r="K15" s="25">
        <v>40.6</v>
      </c>
      <c r="L15" s="25">
        <v>40.799999999999997</v>
      </c>
      <c r="M15" s="25">
        <v>40.700000000000003</v>
      </c>
      <c r="N15" s="25">
        <v>40.200000000000003</v>
      </c>
      <c r="O15" s="25">
        <v>40.299999999999997</v>
      </c>
      <c r="P15" s="25">
        <v>44.3</v>
      </c>
      <c r="Q15" s="25">
        <v>42.8</v>
      </c>
      <c r="R15" s="25">
        <v>54.8</v>
      </c>
      <c r="S15" s="25">
        <v>67.900000000000006</v>
      </c>
      <c r="T15" s="25">
        <v>62.5</v>
      </c>
      <c r="U15" s="141">
        <v>72.099999999999994</v>
      </c>
      <c r="V15" s="141">
        <v>71.5</v>
      </c>
      <c r="W15" s="141">
        <v>41.5</v>
      </c>
      <c r="X15" s="141">
        <v>43.9</v>
      </c>
      <c r="Y15" s="141">
        <v>28.6</v>
      </c>
      <c r="Z15" s="141">
        <v>36</v>
      </c>
      <c r="AA15" s="141">
        <v>36.4</v>
      </c>
      <c r="AB15" s="141">
        <v>42.1</v>
      </c>
      <c r="AC15" s="141">
        <v>32</v>
      </c>
      <c r="AD15" s="141">
        <v>33.799999999999997</v>
      </c>
      <c r="AE15" s="141">
        <v>35.1</v>
      </c>
      <c r="AF15" s="141">
        <v>28.9</v>
      </c>
      <c r="AG15" s="141">
        <v>29.4</v>
      </c>
      <c r="AH15" s="141">
        <v>31.2</v>
      </c>
      <c r="AI15" s="141">
        <v>26.8</v>
      </c>
      <c r="AJ15" s="141">
        <v>29.6</v>
      </c>
      <c r="AK15" s="141">
        <v>27.5</v>
      </c>
      <c r="AL15" s="141">
        <v>28.1</v>
      </c>
      <c r="AM15" s="141">
        <v>29.4</v>
      </c>
      <c r="AN15" s="141">
        <v>26.3</v>
      </c>
      <c r="AO15" s="141">
        <v>25.1</v>
      </c>
      <c r="AP15" s="141">
        <v>24.2</v>
      </c>
      <c r="AQ15" s="141">
        <v>24.3</v>
      </c>
      <c r="AR15" s="141">
        <v>23.4</v>
      </c>
      <c r="AS15" s="141">
        <v>23.3</v>
      </c>
      <c r="AT15" s="141">
        <v>24.8</v>
      </c>
    </row>
    <row r="16" spans="1:46" x14ac:dyDescent="0.2">
      <c r="A16" s="12" t="s">
        <v>307</v>
      </c>
      <c r="B16" s="25">
        <v>44.2</v>
      </c>
      <c r="C16" s="25">
        <v>44.7</v>
      </c>
      <c r="D16" s="25">
        <v>43.1</v>
      </c>
      <c r="E16" s="25">
        <v>41.6</v>
      </c>
      <c r="F16" s="25">
        <v>25.2</v>
      </c>
      <c r="G16" s="25">
        <v>43.5</v>
      </c>
      <c r="H16" s="25">
        <v>47.2</v>
      </c>
      <c r="I16" s="25">
        <v>49.2</v>
      </c>
      <c r="J16" s="25">
        <v>49.6</v>
      </c>
      <c r="K16" s="25">
        <v>52.7</v>
      </c>
      <c r="L16" s="25">
        <v>55.2</v>
      </c>
      <c r="M16" s="25">
        <v>56.6</v>
      </c>
      <c r="N16" s="25">
        <v>55.9</v>
      </c>
      <c r="O16" s="25">
        <v>54.4</v>
      </c>
      <c r="P16" s="25">
        <v>54.3</v>
      </c>
      <c r="Q16" s="25">
        <v>55.7</v>
      </c>
      <c r="R16" s="25">
        <v>57.7</v>
      </c>
      <c r="S16" s="25">
        <v>59.9</v>
      </c>
      <c r="T16" s="25">
        <v>64</v>
      </c>
      <c r="U16" s="141">
        <v>61.8</v>
      </c>
      <c r="V16" s="141">
        <v>60.7</v>
      </c>
      <c r="W16" s="141">
        <v>57.4</v>
      </c>
      <c r="X16" s="141">
        <v>58</v>
      </c>
      <c r="Y16" s="141">
        <v>51.7</v>
      </c>
      <c r="Z16" s="141">
        <v>53.7</v>
      </c>
      <c r="AA16" s="141">
        <v>53.9</v>
      </c>
      <c r="AB16" s="141">
        <v>53.6</v>
      </c>
      <c r="AC16" s="141">
        <v>47.5</v>
      </c>
      <c r="AD16" s="141">
        <v>31.7</v>
      </c>
      <c r="AE16" s="141">
        <v>38.4</v>
      </c>
      <c r="AF16" s="141">
        <v>42.6</v>
      </c>
      <c r="AG16" s="141">
        <v>45</v>
      </c>
      <c r="AH16" s="141">
        <v>46.6</v>
      </c>
      <c r="AI16" s="141">
        <v>43.4</v>
      </c>
      <c r="AJ16" s="141">
        <v>45.1</v>
      </c>
      <c r="AK16" s="141">
        <v>44</v>
      </c>
      <c r="AL16" s="141">
        <v>45.6</v>
      </c>
      <c r="AM16" s="141">
        <v>42.9</v>
      </c>
      <c r="AN16" s="141">
        <v>43.5</v>
      </c>
      <c r="AO16" s="141">
        <v>41.9</v>
      </c>
      <c r="AP16" s="141">
        <v>43.6</v>
      </c>
      <c r="AQ16" s="141">
        <v>43.7</v>
      </c>
      <c r="AR16" s="141">
        <v>33.700000000000003</v>
      </c>
      <c r="AS16" s="141">
        <v>23.8</v>
      </c>
      <c r="AT16" s="141">
        <v>24.6</v>
      </c>
    </row>
    <row r="17" spans="1:46" x14ac:dyDescent="0.2">
      <c r="A17" s="12" t="s">
        <v>308</v>
      </c>
      <c r="B17" s="25">
        <v>87</v>
      </c>
      <c r="C17" s="25">
        <v>79.8</v>
      </c>
      <c r="D17" s="25">
        <v>52</v>
      </c>
      <c r="E17" s="25">
        <v>67.8</v>
      </c>
      <c r="F17" s="25">
        <v>73</v>
      </c>
      <c r="G17" s="25">
        <v>59.1</v>
      </c>
      <c r="H17" s="25">
        <v>59.9</v>
      </c>
      <c r="I17" s="25">
        <v>61.6</v>
      </c>
      <c r="J17" s="25">
        <v>63.9</v>
      </c>
      <c r="K17" s="25">
        <v>70.099999999999994</v>
      </c>
      <c r="L17" s="25">
        <v>75.099999999999994</v>
      </c>
      <c r="M17" s="25">
        <v>81.900000000000006</v>
      </c>
      <c r="N17" s="25">
        <v>85.6</v>
      </c>
      <c r="O17" s="25">
        <v>82.3</v>
      </c>
      <c r="P17" s="25">
        <v>82.1</v>
      </c>
      <c r="Q17" s="25">
        <v>75.900000000000006</v>
      </c>
      <c r="R17" s="25">
        <v>55.8</v>
      </c>
      <c r="S17" s="25">
        <v>67.3</v>
      </c>
      <c r="T17" s="25">
        <v>53.8</v>
      </c>
      <c r="U17" s="141">
        <v>72.7</v>
      </c>
      <c r="V17" s="141">
        <v>78.2</v>
      </c>
      <c r="W17" s="141">
        <v>48.6</v>
      </c>
      <c r="X17" s="141">
        <v>57</v>
      </c>
      <c r="Y17" s="141">
        <v>45.3</v>
      </c>
      <c r="Z17" s="141">
        <v>49.8</v>
      </c>
      <c r="AA17" s="141">
        <v>48.4</v>
      </c>
      <c r="AB17" s="141">
        <v>61.3</v>
      </c>
      <c r="AC17" s="141">
        <v>47.5</v>
      </c>
      <c r="AD17" s="141">
        <v>45.2</v>
      </c>
      <c r="AE17" s="141">
        <v>53</v>
      </c>
      <c r="AF17" s="141">
        <v>50</v>
      </c>
      <c r="AG17" s="141">
        <v>52.3</v>
      </c>
      <c r="AH17" s="141">
        <v>51</v>
      </c>
      <c r="AI17" s="141">
        <v>46</v>
      </c>
      <c r="AJ17" s="141">
        <v>49.1</v>
      </c>
      <c r="AK17" s="141">
        <v>47.5</v>
      </c>
      <c r="AL17" s="141">
        <v>48</v>
      </c>
      <c r="AM17" s="141">
        <v>46.1</v>
      </c>
      <c r="AN17" s="141">
        <v>45.5</v>
      </c>
      <c r="AO17" s="141">
        <v>44</v>
      </c>
      <c r="AP17" s="141">
        <v>46.2</v>
      </c>
      <c r="AQ17" s="141">
        <v>44.4</v>
      </c>
      <c r="AR17" s="141">
        <v>46.8</v>
      </c>
      <c r="AS17" s="141">
        <v>46.8</v>
      </c>
      <c r="AT17" s="141">
        <v>47.3</v>
      </c>
    </row>
    <row r="18" spans="1:46" x14ac:dyDescent="0.2">
      <c r="A18" s="12" t="s">
        <v>309</v>
      </c>
      <c r="B18" s="25">
        <v>1.6</v>
      </c>
      <c r="C18" s="25">
        <v>2.2000000000000002</v>
      </c>
      <c r="D18" s="25">
        <v>0.7</v>
      </c>
      <c r="E18" s="25" t="s">
        <v>152</v>
      </c>
      <c r="F18" s="25" t="s">
        <v>152</v>
      </c>
      <c r="G18" s="25" t="s">
        <v>152</v>
      </c>
      <c r="H18" s="25" t="s">
        <v>152</v>
      </c>
      <c r="I18" s="25">
        <v>0.6</v>
      </c>
      <c r="J18" s="25">
        <v>0.7</v>
      </c>
      <c r="K18" s="25" t="s">
        <v>152</v>
      </c>
      <c r="L18" s="25" t="s">
        <v>152</v>
      </c>
      <c r="M18" s="25" t="s">
        <v>152</v>
      </c>
      <c r="N18" s="25" t="s">
        <v>152</v>
      </c>
      <c r="O18" s="25" t="s">
        <v>152</v>
      </c>
      <c r="P18" s="25" t="s">
        <v>152</v>
      </c>
      <c r="Q18" s="25" t="s">
        <v>152</v>
      </c>
      <c r="R18" s="25">
        <v>1.1000000000000001</v>
      </c>
      <c r="S18" s="25">
        <v>1.6</v>
      </c>
      <c r="T18" s="25">
        <v>0</v>
      </c>
      <c r="U18" s="141">
        <v>0</v>
      </c>
      <c r="V18" s="141">
        <v>0</v>
      </c>
      <c r="W18" s="141">
        <v>0</v>
      </c>
      <c r="X18" s="141">
        <v>0</v>
      </c>
      <c r="Y18" s="141">
        <v>0</v>
      </c>
      <c r="Z18" s="141">
        <v>0</v>
      </c>
      <c r="AA18" s="141">
        <v>0</v>
      </c>
      <c r="AB18" s="141">
        <v>0</v>
      </c>
      <c r="AC18" s="141">
        <v>0</v>
      </c>
      <c r="AD18" s="141">
        <v>0</v>
      </c>
      <c r="AE18" s="141">
        <v>0</v>
      </c>
      <c r="AF18" s="141">
        <v>0</v>
      </c>
      <c r="AG18" s="141">
        <v>0</v>
      </c>
      <c r="AH18" s="141">
        <v>0</v>
      </c>
      <c r="AI18" s="141">
        <v>0</v>
      </c>
      <c r="AJ18" s="141">
        <v>0</v>
      </c>
      <c r="AK18" s="141">
        <v>0</v>
      </c>
      <c r="AL18" s="141">
        <v>0</v>
      </c>
      <c r="AM18" s="141">
        <v>0</v>
      </c>
      <c r="AN18" s="141">
        <v>0</v>
      </c>
      <c r="AO18" s="141">
        <v>0</v>
      </c>
      <c r="AP18" s="141">
        <v>0</v>
      </c>
      <c r="AQ18" s="141">
        <v>0</v>
      </c>
      <c r="AR18" s="141">
        <v>0</v>
      </c>
      <c r="AS18" s="141">
        <v>0</v>
      </c>
      <c r="AT18" s="141">
        <v>0</v>
      </c>
    </row>
    <row r="19" spans="1:46" x14ac:dyDescent="0.2">
      <c r="A19" s="12" t="s">
        <v>310</v>
      </c>
      <c r="B19" s="25">
        <v>27.2</v>
      </c>
      <c r="C19" s="25">
        <v>26</v>
      </c>
      <c r="D19" s="25">
        <v>30.7</v>
      </c>
      <c r="E19" s="25">
        <v>33.799999999999997</v>
      </c>
      <c r="F19" s="25">
        <v>39</v>
      </c>
      <c r="G19" s="25">
        <v>38</v>
      </c>
      <c r="H19" s="25">
        <v>37.200000000000003</v>
      </c>
      <c r="I19" s="25">
        <v>32.799999999999997</v>
      </c>
      <c r="J19" s="25">
        <v>34</v>
      </c>
      <c r="K19" s="25">
        <v>36.6</v>
      </c>
      <c r="L19" s="25">
        <v>41.9</v>
      </c>
      <c r="M19" s="25">
        <v>41.7</v>
      </c>
      <c r="N19" s="25">
        <v>40.1</v>
      </c>
      <c r="O19" s="25">
        <v>40.299999999999997</v>
      </c>
      <c r="P19" s="25">
        <v>25.4</v>
      </c>
      <c r="Q19" s="25">
        <v>20.2</v>
      </c>
      <c r="R19" s="25">
        <v>14.1</v>
      </c>
      <c r="S19" s="25">
        <v>16.399999999999999</v>
      </c>
      <c r="T19" s="25">
        <v>0</v>
      </c>
      <c r="U19" s="141">
        <v>0</v>
      </c>
      <c r="V19" s="141">
        <v>0</v>
      </c>
      <c r="W19" s="141">
        <v>0</v>
      </c>
      <c r="X19" s="141">
        <v>0</v>
      </c>
      <c r="Y19" s="141">
        <v>0</v>
      </c>
      <c r="Z19" s="141">
        <v>0</v>
      </c>
      <c r="AA19" s="141">
        <v>0</v>
      </c>
      <c r="AB19" s="141">
        <v>0</v>
      </c>
      <c r="AC19" s="141">
        <v>0</v>
      </c>
      <c r="AD19" s="141">
        <v>0</v>
      </c>
      <c r="AE19" s="141">
        <v>0</v>
      </c>
      <c r="AF19" s="141">
        <v>0</v>
      </c>
      <c r="AG19" s="141">
        <v>0</v>
      </c>
      <c r="AH19" s="141">
        <v>0</v>
      </c>
      <c r="AI19" s="141">
        <v>0</v>
      </c>
      <c r="AJ19" s="141">
        <v>0</v>
      </c>
      <c r="AK19" s="141">
        <v>0</v>
      </c>
      <c r="AL19" s="141">
        <v>0</v>
      </c>
      <c r="AM19" s="141">
        <v>0</v>
      </c>
      <c r="AN19" s="141">
        <v>0</v>
      </c>
      <c r="AO19" s="141">
        <v>0</v>
      </c>
      <c r="AP19" s="141">
        <v>0</v>
      </c>
      <c r="AQ19" s="141">
        <v>0</v>
      </c>
      <c r="AR19" s="141">
        <v>0</v>
      </c>
      <c r="AS19" s="141">
        <v>0</v>
      </c>
      <c r="AT19" s="141">
        <v>0</v>
      </c>
    </row>
    <row r="20" spans="1:46" x14ac:dyDescent="0.2">
      <c r="A20" s="12" t="s">
        <v>311</v>
      </c>
      <c r="B20" s="25">
        <v>45.6</v>
      </c>
      <c r="C20" s="25">
        <v>45.2</v>
      </c>
      <c r="D20" s="25">
        <v>39.799999999999997</v>
      </c>
      <c r="E20" s="25">
        <v>32.6</v>
      </c>
      <c r="F20" s="25">
        <v>32.9</v>
      </c>
      <c r="G20" s="25">
        <v>50.2</v>
      </c>
      <c r="H20" s="25">
        <v>51</v>
      </c>
      <c r="I20" s="25">
        <v>54.1</v>
      </c>
      <c r="J20" s="25">
        <v>56.5</v>
      </c>
      <c r="K20" s="25">
        <v>61.8</v>
      </c>
      <c r="L20" s="25">
        <v>65</v>
      </c>
      <c r="M20" s="25">
        <v>69</v>
      </c>
      <c r="N20" s="25">
        <v>71</v>
      </c>
      <c r="O20" s="25">
        <v>66</v>
      </c>
      <c r="P20" s="25">
        <v>63</v>
      </c>
      <c r="Q20" s="25">
        <v>63</v>
      </c>
      <c r="R20" s="25">
        <v>58</v>
      </c>
      <c r="S20" s="25">
        <v>63</v>
      </c>
      <c r="T20" s="25">
        <v>56</v>
      </c>
      <c r="U20" s="141">
        <v>58</v>
      </c>
      <c r="V20" s="141">
        <v>61</v>
      </c>
      <c r="W20" s="141">
        <v>48.5</v>
      </c>
      <c r="X20" s="141">
        <v>40</v>
      </c>
      <c r="Y20" s="141">
        <v>35</v>
      </c>
      <c r="Z20" s="141">
        <v>36.4</v>
      </c>
      <c r="AA20" s="141">
        <v>36.200000000000003</v>
      </c>
      <c r="AB20" s="141">
        <v>42.8</v>
      </c>
      <c r="AC20" s="141">
        <v>30.8</v>
      </c>
      <c r="AD20" s="141">
        <v>29.7</v>
      </c>
      <c r="AE20" s="141">
        <v>32.4</v>
      </c>
      <c r="AF20" s="141">
        <v>30.5</v>
      </c>
      <c r="AG20" s="141">
        <v>31</v>
      </c>
      <c r="AH20" s="141">
        <v>31.8</v>
      </c>
      <c r="AI20" s="141">
        <v>30</v>
      </c>
      <c r="AJ20" s="141">
        <v>30.9</v>
      </c>
      <c r="AK20" s="141">
        <v>31.3</v>
      </c>
      <c r="AL20" s="141">
        <v>30.7</v>
      </c>
      <c r="AM20" s="141">
        <v>32.1</v>
      </c>
      <c r="AN20" s="141">
        <v>32.1</v>
      </c>
      <c r="AO20" s="141">
        <v>31.6</v>
      </c>
      <c r="AP20" s="141">
        <v>30.7</v>
      </c>
      <c r="AQ20" s="141">
        <v>31.2</v>
      </c>
      <c r="AR20" s="141">
        <v>29.3</v>
      </c>
      <c r="AS20" s="141">
        <v>29.1</v>
      </c>
      <c r="AT20" s="141">
        <v>31.7</v>
      </c>
    </row>
    <row r="21" spans="1:46" x14ac:dyDescent="0.2">
      <c r="A21" s="12" t="s">
        <v>301</v>
      </c>
      <c r="B21" s="25">
        <f>SUM(B15:B20)</f>
        <v>299.59999999999997</v>
      </c>
      <c r="C21" s="25">
        <f t="shared" ref="C21:L21" si="3">SUM(C15:C20)</f>
        <v>277.89999999999998</v>
      </c>
      <c r="D21" s="25">
        <f t="shared" si="3"/>
        <v>216.29999999999995</v>
      </c>
      <c r="E21" s="25">
        <f t="shared" si="3"/>
        <v>217.79999999999998</v>
      </c>
      <c r="F21" s="25">
        <f t="shared" si="3"/>
        <v>218.4</v>
      </c>
      <c r="G21" s="25">
        <f>SUM(G15:G20)</f>
        <v>193.7</v>
      </c>
      <c r="H21" s="25">
        <f t="shared" si="3"/>
        <v>233.10000000000002</v>
      </c>
      <c r="I21" s="25">
        <f t="shared" si="3"/>
        <v>235.69999999999996</v>
      </c>
      <c r="J21" s="25">
        <f t="shared" si="3"/>
        <v>243.79999999999998</v>
      </c>
      <c r="K21" s="25">
        <f t="shared" si="3"/>
        <v>261.8</v>
      </c>
      <c r="L21" s="25">
        <f t="shared" si="3"/>
        <v>278</v>
      </c>
      <c r="M21" s="25">
        <f>SUM(M15:M20)</f>
        <v>289.90000000000003</v>
      </c>
      <c r="N21" s="25">
        <f>SUM(N15:N20)</f>
        <v>292.79999999999995</v>
      </c>
      <c r="O21" s="25">
        <f>SUM(O15:O20)</f>
        <v>283.3</v>
      </c>
      <c r="P21" s="25">
        <f t="shared" ref="P21:AO21" si="4">SUM(P15:P20)</f>
        <v>269.10000000000002</v>
      </c>
      <c r="Q21" s="25">
        <f t="shared" si="4"/>
        <v>257.60000000000002</v>
      </c>
      <c r="R21" s="25">
        <f>SUM(R15:R20)</f>
        <v>241.5</v>
      </c>
      <c r="S21" s="25">
        <f t="shared" si="4"/>
        <v>276.10000000000002</v>
      </c>
      <c r="T21" s="25">
        <f t="shared" si="4"/>
        <v>236.3</v>
      </c>
      <c r="U21" s="25">
        <f t="shared" si="4"/>
        <v>264.59999999999997</v>
      </c>
      <c r="V21" s="25">
        <f t="shared" si="4"/>
        <v>271.39999999999998</v>
      </c>
      <c r="W21" s="25">
        <f>SUM(W15:W20)</f>
        <v>196</v>
      </c>
      <c r="X21" s="25">
        <f t="shared" si="4"/>
        <v>198.9</v>
      </c>
      <c r="Y21" s="25">
        <f t="shared" si="4"/>
        <v>160.60000000000002</v>
      </c>
      <c r="Z21" s="25">
        <f t="shared" si="4"/>
        <v>175.9</v>
      </c>
      <c r="AA21" s="25">
        <f>SUM(AA15:AA20)</f>
        <v>174.89999999999998</v>
      </c>
      <c r="AB21" s="25">
        <f t="shared" si="4"/>
        <v>199.8</v>
      </c>
      <c r="AC21" s="25">
        <f t="shared" si="4"/>
        <v>157.80000000000001</v>
      </c>
      <c r="AD21" s="25">
        <f t="shared" si="4"/>
        <v>140.4</v>
      </c>
      <c r="AE21" s="25">
        <f>SUM(AE15:AE20)</f>
        <v>158.9</v>
      </c>
      <c r="AF21" s="25">
        <f t="shared" si="4"/>
        <v>152</v>
      </c>
      <c r="AG21" s="25">
        <f t="shared" si="4"/>
        <v>157.69999999999999</v>
      </c>
      <c r="AH21" s="25">
        <f t="shared" si="4"/>
        <v>160.60000000000002</v>
      </c>
      <c r="AI21" s="25">
        <f t="shared" si="4"/>
        <v>146.19999999999999</v>
      </c>
      <c r="AJ21" s="25">
        <f t="shared" si="4"/>
        <v>154.70000000000002</v>
      </c>
      <c r="AK21" s="25">
        <f t="shared" si="4"/>
        <v>150.30000000000001</v>
      </c>
      <c r="AL21" s="25">
        <f t="shared" si="4"/>
        <v>152.4</v>
      </c>
      <c r="AM21" s="25">
        <f t="shared" si="4"/>
        <v>150.5</v>
      </c>
      <c r="AN21" s="141">
        <f t="shared" si="4"/>
        <v>147.4</v>
      </c>
      <c r="AO21" s="141">
        <f t="shared" si="4"/>
        <v>142.6</v>
      </c>
      <c r="AP21" s="25">
        <f>SUM(AP15:AP20)</f>
        <v>144.69999999999999</v>
      </c>
      <c r="AQ21" s="25">
        <f t="shared" ref="AQ21" si="5">SUM(AQ15:AQ20)</f>
        <v>143.6</v>
      </c>
      <c r="AR21" s="25">
        <f>SUM(AR15:AR20)</f>
        <v>133.20000000000002</v>
      </c>
      <c r="AS21" s="25">
        <f>SUM(AS15:AS20)</f>
        <v>123</v>
      </c>
      <c r="AT21" s="141">
        <f>SUM(AT15:AT20)</f>
        <v>128.4</v>
      </c>
    </row>
    <row r="22" spans="1:46" x14ac:dyDescent="0.2">
      <c r="A22" s="12"/>
      <c r="B22" s="25"/>
      <c r="C22" s="25"/>
      <c r="D22" s="25"/>
      <c r="E22" s="25"/>
      <c r="F22" s="25"/>
      <c r="G22" s="25"/>
      <c r="H22" s="25"/>
      <c r="I22" s="25"/>
      <c r="J22" s="25"/>
      <c r="K22" s="25"/>
      <c r="L22" s="25"/>
      <c r="M22" s="25"/>
      <c r="N22" s="25"/>
      <c r="O22" s="25"/>
      <c r="P22" s="25"/>
      <c r="Q22" s="25"/>
      <c r="R22" s="25"/>
      <c r="S22" s="25"/>
      <c r="T22" s="25"/>
      <c r="U22" s="141"/>
      <c r="V22" s="141"/>
      <c r="W22" s="141"/>
      <c r="X22" s="141"/>
      <c r="Y22" s="141"/>
      <c r="Z22" s="141"/>
      <c r="AA22" s="141"/>
      <c r="AB22" s="141"/>
      <c r="AC22" s="141"/>
      <c r="AD22" s="141"/>
      <c r="AE22" s="141"/>
      <c r="AF22" s="141"/>
      <c r="AG22" s="141"/>
      <c r="AH22" s="141"/>
      <c r="AI22" s="141"/>
      <c r="AJ22" s="141"/>
      <c r="AK22" s="141"/>
      <c r="AL22" s="141"/>
      <c r="AM22" s="141"/>
      <c r="AN22" s="141"/>
      <c r="AO22" s="141"/>
      <c r="AP22" s="141"/>
      <c r="AQ22" s="141"/>
      <c r="AR22" s="141"/>
      <c r="AS22" s="141"/>
      <c r="AT22" s="141"/>
    </row>
    <row r="23" spans="1:46" x14ac:dyDescent="0.2">
      <c r="A23" s="12" t="s">
        <v>312</v>
      </c>
      <c r="B23" s="25"/>
      <c r="C23" s="25"/>
      <c r="D23" s="25"/>
      <c r="E23" s="25"/>
      <c r="F23" s="25"/>
      <c r="G23" s="25"/>
      <c r="H23" s="25"/>
      <c r="I23" s="25"/>
      <c r="J23" s="25"/>
      <c r="K23" s="25"/>
      <c r="L23" s="25"/>
      <c r="M23" s="25"/>
      <c r="N23" s="25"/>
      <c r="O23" s="25"/>
      <c r="P23" s="25"/>
      <c r="Q23" s="25"/>
      <c r="R23" s="25"/>
      <c r="S23" s="25"/>
      <c r="T23" s="25"/>
      <c r="U23" s="141"/>
      <c r="V23" s="141"/>
      <c r="W23" s="141"/>
      <c r="X23" s="141"/>
      <c r="Y23" s="141"/>
      <c r="Z23" s="141"/>
      <c r="AA23" s="141"/>
      <c r="AB23" s="141"/>
      <c r="AC23" s="141"/>
      <c r="AD23" s="141"/>
      <c r="AE23" s="141"/>
      <c r="AF23" s="141"/>
      <c r="AG23" s="141"/>
      <c r="AH23" s="141"/>
      <c r="AI23" s="141"/>
      <c r="AJ23" s="141"/>
      <c r="AK23" s="141"/>
      <c r="AL23" s="141"/>
      <c r="AM23" s="141"/>
      <c r="AN23" s="141"/>
      <c r="AO23" s="141"/>
      <c r="AP23" s="141"/>
      <c r="AQ23" s="141"/>
      <c r="AR23" s="141"/>
      <c r="AS23" s="141"/>
      <c r="AT23" s="141"/>
    </row>
    <row r="24" spans="1:46" x14ac:dyDescent="0.2">
      <c r="A24" s="12" t="s">
        <v>313</v>
      </c>
      <c r="B24" s="25">
        <v>234</v>
      </c>
      <c r="C24" s="25">
        <v>265</v>
      </c>
      <c r="D24" s="25">
        <v>169</v>
      </c>
      <c r="E24" s="25">
        <v>175</v>
      </c>
      <c r="F24" s="25">
        <v>211</v>
      </c>
      <c r="G24" s="25">
        <v>206</v>
      </c>
      <c r="H24" s="25">
        <v>192</v>
      </c>
      <c r="I24" s="25">
        <v>219</v>
      </c>
      <c r="J24" s="25">
        <v>215</v>
      </c>
      <c r="K24" s="25">
        <v>176</v>
      </c>
      <c r="L24" s="25">
        <v>173</v>
      </c>
      <c r="M24" s="25">
        <v>165</v>
      </c>
      <c r="N24" s="25">
        <v>154</v>
      </c>
      <c r="O24" s="25">
        <v>138</v>
      </c>
      <c r="P24" s="25">
        <v>143</v>
      </c>
      <c r="Q24" s="25">
        <v>116</v>
      </c>
      <c r="R24" s="25">
        <v>84</v>
      </c>
      <c r="S24" s="25">
        <v>101</v>
      </c>
      <c r="T24" s="25">
        <v>101</v>
      </c>
      <c r="U24" s="141">
        <v>110</v>
      </c>
      <c r="V24" s="141">
        <v>98</v>
      </c>
      <c r="W24" s="141">
        <v>46.6</v>
      </c>
      <c r="X24" s="141">
        <v>50.2</v>
      </c>
      <c r="Y24" s="141">
        <v>50.8</v>
      </c>
      <c r="Z24" s="141">
        <v>49.1</v>
      </c>
      <c r="AA24" s="141">
        <v>44.4</v>
      </c>
      <c r="AB24" s="141">
        <v>43.3</v>
      </c>
      <c r="AC24" s="141">
        <v>40</v>
      </c>
      <c r="AD24" s="141">
        <v>26</v>
      </c>
      <c r="AE24" s="141">
        <v>25.3</v>
      </c>
      <c r="AF24" s="141">
        <v>25.6</v>
      </c>
      <c r="AG24" s="141">
        <v>25.2</v>
      </c>
      <c r="AH24" s="141">
        <v>24.5</v>
      </c>
      <c r="AI24" s="141">
        <v>24.4</v>
      </c>
      <c r="AJ24" s="141">
        <v>24.3</v>
      </c>
      <c r="AK24" s="141">
        <v>24.7</v>
      </c>
      <c r="AL24" s="141">
        <v>25.3</v>
      </c>
      <c r="AM24" s="141">
        <v>25</v>
      </c>
      <c r="AN24" s="141">
        <v>24.6</v>
      </c>
      <c r="AO24" s="141">
        <v>24.5</v>
      </c>
      <c r="AP24" s="141">
        <v>24.1</v>
      </c>
      <c r="AQ24" s="141">
        <v>24</v>
      </c>
      <c r="AR24" s="141">
        <v>18</v>
      </c>
      <c r="AS24" s="141">
        <v>23.1</v>
      </c>
      <c r="AT24" s="141">
        <v>28.3</v>
      </c>
    </row>
    <row r="25" spans="1:46" x14ac:dyDescent="0.2">
      <c r="A25" s="12" t="s">
        <v>314</v>
      </c>
      <c r="B25" s="25">
        <v>139.4</v>
      </c>
      <c r="C25" s="25">
        <v>147.6</v>
      </c>
      <c r="D25" s="25">
        <v>139</v>
      </c>
      <c r="E25" s="25">
        <v>145</v>
      </c>
      <c r="F25" s="25">
        <v>145</v>
      </c>
      <c r="G25" s="25">
        <v>153</v>
      </c>
      <c r="H25" s="25">
        <v>161</v>
      </c>
      <c r="I25" s="25">
        <v>163</v>
      </c>
      <c r="J25" s="25">
        <v>168</v>
      </c>
      <c r="K25" s="25">
        <v>179</v>
      </c>
      <c r="L25" s="25">
        <v>188</v>
      </c>
      <c r="M25" s="25">
        <v>196</v>
      </c>
      <c r="N25" s="25">
        <v>202</v>
      </c>
      <c r="O25" s="25">
        <v>206</v>
      </c>
      <c r="P25" s="25">
        <v>202</v>
      </c>
      <c r="Q25" s="25">
        <v>198</v>
      </c>
      <c r="R25" s="25">
        <v>187</v>
      </c>
      <c r="S25" s="25">
        <v>198</v>
      </c>
      <c r="T25" s="25">
        <v>204</v>
      </c>
      <c r="U25" s="141">
        <v>211</v>
      </c>
      <c r="V25" s="141">
        <v>212</v>
      </c>
      <c r="W25" s="141">
        <v>199</v>
      </c>
      <c r="X25" s="141">
        <v>212</v>
      </c>
      <c r="Y25" s="141">
        <v>208</v>
      </c>
      <c r="Z25" s="141">
        <v>195</v>
      </c>
      <c r="AA25" s="141">
        <v>169</v>
      </c>
      <c r="AB25" s="141">
        <v>188</v>
      </c>
      <c r="AC25" s="141">
        <v>169</v>
      </c>
      <c r="AD25" s="141">
        <v>131</v>
      </c>
      <c r="AE25" s="141">
        <v>164</v>
      </c>
      <c r="AF25" s="141">
        <v>171</v>
      </c>
      <c r="AG25" s="141">
        <v>176</v>
      </c>
      <c r="AH25" s="141">
        <v>183</v>
      </c>
      <c r="AI25" s="141">
        <v>175</v>
      </c>
      <c r="AJ25" s="141">
        <v>170</v>
      </c>
      <c r="AK25" s="141">
        <v>174</v>
      </c>
      <c r="AL25" s="141">
        <v>172</v>
      </c>
      <c r="AM25" s="141">
        <v>167</v>
      </c>
      <c r="AN25" s="141">
        <v>163</v>
      </c>
      <c r="AO25" s="141">
        <v>172</v>
      </c>
      <c r="AP25" s="141">
        <v>171</v>
      </c>
      <c r="AQ25" s="141">
        <v>173</v>
      </c>
      <c r="AR25" s="141">
        <v>173</v>
      </c>
      <c r="AS25" s="141">
        <v>174.7</v>
      </c>
      <c r="AT25" s="141">
        <v>173.2</v>
      </c>
    </row>
    <row r="26" spans="1:46" x14ac:dyDescent="0.2">
      <c r="A26" s="12" t="s">
        <v>315</v>
      </c>
      <c r="B26" s="25">
        <v>7.3</v>
      </c>
      <c r="C26" s="25">
        <v>11.2</v>
      </c>
      <c r="D26" s="25">
        <v>10.7</v>
      </c>
      <c r="E26" s="25">
        <v>11.6</v>
      </c>
      <c r="F26" s="25">
        <v>11.8</v>
      </c>
      <c r="G26" s="25">
        <v>11.9</v>
      </c>
      <c r="H26" s="25">
        <v>13</v>
      </c>
      <c r="I26" s="25">
        <v>13.9</v>
      </c>
      <c r="J26" s="25">
        <v>14.3</v>
      </c>
      <c r="K26" s="25">
        <v>15.9</v>
      </c>
      <c r="L26" s="25">
        <v>17.2</v>
      </c>
      <c r="M26" s="25">
        <v>18.899999999999999</v>
      </c>
      <c r="N26" s="25">
        <v>18.399999999999999</v>
      </c>
      <c r="O26" s="25">
        <v>16</v>
      </c>
      <c r="P26" s="25">
        <v>16.7</v>
      </c>
      <c r="Q26" s="25">
        <v>18.399999999999999</v>
      </c>
      <c r="R26" s="25">
        <v>17.399999999999999</v>
      </c>
      <c r="S26" s="25">
        <v>17.600000000000001</v>
      </c>
      <c r="T26" s="25">
        <v>17.899999999999999</v>
      </c>
      <c r="U26" s="141">
        <v>20.100000000000001</v>
      </c>
      <c r="V26" s="141">
        <v>16.2</v>
      </c>
      <c r="W26" s="141">
        <v>11.9</v>
      </c>
      <c r="X26" s="141">
        <v>11.3</v>
      </c>
      <c r="Y26" s="141">
        <v>10</v>
      </c>
      <c r="Z26" s="141">
        <v>12.9</v>
      </c>
      <c r="AA26" s="141">
        <v>9.8000000000000007</v>
      </c>
      <c r="AB26" s="141">
        <v>13.1</v>
      </c>
      <c r="AC26" s="141">
        <v>12</v>
      </c>
      <c r="AD26" s="141">
        <v>6.7</v>
      </c>
      <c r="AE26" s="141">
        <v>10.6</v>
      </c>
      <c r="AF26" s="141">
        <v>10.3</v>
      </c>
      <c r="AG26" s="141">
        <v>10.9</v>
      </c>
      <c r="AH26" s="141">
        <v>11</v>
      </c>
      <c r="AI26" s="141">
        <v>9.4</v>
      </c>
      <c r="AJ26" s="141">
        <v>7.5</v>
      </c>
      <c r="AK26" s="141">
        <v>7.8</v>
      </c>
      <c r="AL26" s="141">
        <v>10.7</v>
      </c>
      <c r="AM26" s="141">
        <v>9.1</v>
      </c>
      <c r="AN26" s="141">
        <v>9.3000000000000007</v>
      </c>
      <c r="AO26" s="141">
        <v>10</v>
      </c>
      <c r="AP26" s="141">
        <v>9.5</v>
      </c>
      <c r="AQ26" s="141">
        <v>10.5</v>
      </c>
      <c r="AR26" s="141">
        <v>9.4</v>
      </c>
      <c r="AS26" s="141">
        <v>10.8</v>
      </c>
      <c r="AT26" s="141">
        <v>10.5</v>
      </c>
    </row>
    <row r="27" spans="1:46" x14ac:dyDescent="0.2">
      <c r="A27" s="12" t="s">
        <v>316</v>
      </c>
      <c r="B27" s="25" t="s">
        <v>152</v>
      </c>
      <c r="C27" s="25" t="s">
        <v>152</v>
      </c>
      <c r="D27" s="25" t="s">
        <v>152</v>
      </c>
      <c r="E27" s="25" t="s">
        <v>152</v>
      </c>
      <c r="F27" s="25" t="s">
        <v>152</v>
      </c>
      <c r="G27" s="25" t="s">
        <v>152</v>
      </c>
      <c r="H27" s="25" t="s">
        <v>152</v>
      </c>
      <c r="I27" s="25" t="s">
        <v>152</v>
      </c>
      <c r="J27" s="25" t="s">
        <v>152</v>
      </c>
      <c r="K27" s="25" t="s">
        <v>152</v>
      </c>
      <c r="L27" s="25" t="s">
        <v>152</v>
      </c>
      <c r="M27" s="25" t="s">
        <v>152</v>
      </c>
      <c r="N27" s="25" t="s">
        <v>152</v>
      </c>
      <c r="O27" s="25" t="s">
        <v>152</v>
      </c>
      <c r="P27" s="25" t="s">
        <v>152</v>
      </c>
      <c r="Q27" s="25" t="s">
        <v>152</v>
      </c>
      <c r="R27" s="25">
        <v>13</v>
      </c>
      <c r="S27" s="25">
        <v>18.3</v>
      </c>
      <c r="T27" s="25">
        <v>37.299999999999997</v>
      </c>
      <c r="U27" s="141">
        <v>27.5</v>
      </c>
      <c r="V27" s="141">
        <v>28.4</v>
      </c>
      <c r="W27" s="141">
        <v>7.2</v>
      </c>
      <c r="X27" s="141">
        <v>4</v>
      </c>
      <c r="Y27" s="141">
        <v>4</v>
      </c>
      <c r="Z27" s="141">
        <v>3.8</v>
      </c>
      <c r="AA27" s="141">
        <v>1.7</v>
      </c>
      <c r="AB27" s="141">
        <v>2</v>
      </c>
      <c r="AC27" s="141">
        <v>2</v>
      </c>
      <c r="AD27" s="141">
        <v>1.6</v>
      </c>
      <c r="AE27" s="141">
        <v>0</v>
      </c>
      <c r="AF27" s="141">
        <v>0</v>
      </c>
      <c r="AG27" s="141">
        <v>0</v>
      </c>
      <c r="AH27" s="141">
        <v>0</v>
      </c>
      <c r="AI27" s="141">
        <v>0</v>
      </c>
      <c r="AJ27" s="141">
        <v>0</v>
      </c>
      <c r="AK27" s="141">
        <v>0</v>
      </c>
      <c r="AL27" s="141">
        <v>2</v>
      </c>
      <c r="AM27" s="141">
        <v>1.8</v>
      </c>
      <c r="AN27" s="141">
        <v>1.8</v>
      </c>
      <c r="AO27" s="141">
        <v>2.4</v>
      </c>
      <c r="AP27" s="141">
        <v>1.9</v>
      </c>
      <c r="AQ27" s="141">
        <v>1.9</v>
      </c>
      <c r="AR27" s="141">
        <v>2</v>
      </c>
      <c r="AS27" s="141">
        <v>2</v>
      </c>
      <c r="AT27" s="141">
        <v>1.9</v>
      </c>
    </row>
    <row r="28" spans="1:46" x14ac:dyDescent="0.2">
      <c r="A28" s="12" t="s">
        <v>301</v>
      </c>
      <c r="B28" s="25">
        <f>SUM(B24:B26)</f>
        <v>380.7</v>
      </c>
      <c r="C28" s="25">
        <f t="shared" ref="C28:Q28" si="6">SUM(C24:C26)</f>
        <v>423.8</v>
      </c>
      <c r="D28" s="25">
        <f t="shared" si="6"/>
        <v>318.7</v>
      </c>
      <c r="E28" s="25">
        <f t="shared" si="6"/>
        <v>331.6</v>
      </c>
      <c r="F28" s="25">
        <f t="shared" si="6"/>
        <v>367.8</v>
      </c>
      <c r="G28" s="25">
        <f t="shared" si="6"/>
        <v>370.9</v>
      </c>
      <c r="H28" s="25">
        <f t="shared" si="6"/>
        <v>366</v>
      </c>
      <c r="I28" s="25">
        <f t="shared" si="6"/>
        <v>395.9</v>
      </c>
      <c r="J28" s="25">
        <f t="shared" si="6"/>
        <v>397.3</v>
      </c>
      <c r="K28" s="25">
        <f t="shared" si="6"/>
        <v>370.9</v>
      </c>
      <c r="L28" s="25">
        <f t="shared" si="6"/>
        <v>378.2</v>
      </c>
      <c r="M28" s="25">
        <f t="shared" si="6"/>
        <v>379.9</v>
      </c>
      <c r="N28" s="25">
        <f t="shared" si="6"/>
        <v>374.4</v>
      </c>
      <c r="O28" s="25">
        <f t="shared" si="6"/>
        <v>360</v>
      </c>
      <c r="P28" s="25">
        <f t="shared" si="6"/>
        <v>361.7</v>
      </c>
      <c r="Q28" s="25">
        <f t="shared" si="6"/>
        <v>332.4</v>
      </c>
      <c r="R28" s="25">
        <f>SUM(R24:R27)</f>
        <v>301.39999999999998</v>
      </c>
      <c r="S28" s="25">
        <f t="shared" ref="S28:AP28" si="7">SUM(S24:S27)</f>
        <v>334.90000000000003</v>
      </c>
      <c r="T28" s="25">
        <f t="shared" si="7"/>
        <v>360.2</v>
      </c>
      <c r="U28" s="25">
        <f t="shared" si="7"/>
        <v>368.6</v>
      </c>
      <c r="V28" s="25">
        <f t="shared" si="7"/>
        <v>354.59999999999997</v>
      </c>
      <c r="W28" s="25">
        <f t="shared" si="7"/>
        <v>264.7</v>
      </c>
      <c r="X28" s="25">
        <f t="shared" si="7"/>
        <v>277.5</v>
      </c>
      <c r="Y28" s="25">
        <f t="shared" si="7"/>
        <v>272.8</v>
      </c>
      <c r="Z28" s="25">
        <f t="shared" si="7"/>
        <v>260.8</v>
      </c>
      <c r="AA28" s="25">
        <f t="shared" si="7"/>
        <v>224.9</v>
      </c>
      <c r="AB28" s="25">
        <f t="shared" si="7"/>
        <v>246.4</v>
      </c>
      <c r="AC28" s="25">
        <f t="shared" si="7"/>
        <v>223</v>
      </c>
      <c r="AD28" s="25">
        <f t="shared" si="7"/>
        <v>165.29999999999998</v>
      </c>
      <c r="AE28" s="25">
        <f t="shared" si="7"/>
        <v>199.9</v>
      </c>
      <c r="AF28" s="25">
        <f t="shared" si="7"/>
        <v>206.9</v>
      </c>
      <c r="AG28" s="25">
        <f t="shared" si="7"/>
        <v>212.1</v>
      </c>
      <c r="AH28" s="25">
        <f t="shared" si="7"/>
        <v>218.5</v>
      </c>
      <c r="AI28" s="25">
        <f t="shared" si="7"/>
        <v>208.8</v>
      </c>
      <c r="AJ28" s="25">
        <f t="shared" si="7"/>
        <v>201.8</v>
      </c>
      <c r="AK28" s="25">
        <f t="shared" si="7"/>
        <v>206.5</v>
      </c>
      <c r="AL28" s="25">
        <f t="shared" si="7"/>
        <v>210</v>
      </c>
      <c r="AM28" s="25">
        <f t="shared" si="7"/>
        <v>202.9</v>
      </c>
      <c r="AN28" s="141">
        <f t="shared" si="7"/>
        <v>198.70000000000002</v>
      </c>
      <c r="AO28" s="141">
        <f t="shared" si="7"/>
        <v>208.9</v>
      </c>
      <c r="AP28" s="25">
        <f t="shared" si="7"/>
        <v>206.5</v>
      </c>
      <c r="AQ28" s="25">
        <f t="shared" ref="AQ28" si="8">SUM(AQ24:AQ27)</f>
        <v>209.4</v>
      </c>
      <c r="AR28" s="25">
        <f>SUM(AR24:AR27)</f>
        <v>202.4</v>
      </c>
      <c r="AS28" s="25">
        <f>SUM(AS24:AS27)</f>
        <v>210.6</v>
      </c>
      <c r="AT28" s="141">
        <f>SUM(AT24:AT27)</f>
        <v>213.9</v>
      </c>
    </row>
    <row r="29" spans="1:46" x14ac:dyDescent="0.2">
      <c r="A29" s="12"/>
      <c r="B29" s="25"/>
      <c r="C29" s="25"/>
      <c r="D29" s="25"/>
      <c r="E29" s="25"/>
      <c r="F29" s="25"/>
      <c r="G29" s="25"/>
      <c r="H29" s="25"/>
      <c r="I29" s="25"/>
      <c r="J29" s="25"/>
      <c r="K29" s="25"/>
      <c r="L29" s="25"/>
      <c r="M29" s="25"/>
      <c r="N29" s="25"/>
      <c r="O29" s="25"/>
      <c r="P29" s="25"/>
      <c r="Q29" s="25"/>
      <c r="R29" s="25"/>
      <c r="S29" s="25"/>
      <c r="T29" s="25"/>
      <c r="U29" s="141"/>
      <c r="V29" s="141"/>
      <c r="W29" s="141"/>
      <c r="X29" s="141"/>
      <c r="Y29" s="141"/>
      <c r="Z29" s="141"/>
      <c r="AA29" s="141"/>
      <c r="AB29" s="141"/>
      <c r="AC29" s="141"/>
      <c r="AD29" s="141"/>
      <c r="AE29" s="141"/>
      <c r="AF29" s="141"/>
      <c r="AG29" s="141"/>
      <c r="AH29" s="141"/>
      <c r="AI29" s="141"/>
      <c r="AJ29" s="141"/>
      <c r="AK29" s="141"/>
      <c r="AL29" s="141"/>
      <c r="AM29" s="141"/>
      <c r="AN29" s="141"/>
      <c r="AO29" s="141"/>
      <c r="AP29" s="141"/>
      <c r="AQ29" s="141"/>
      <c r="AR29" s="141"/>
      <c r="AS29" s="141"/>
      <c r="AT29" s="141"/>
    </row>
    <row r="30" spans="1:46" x14ac:dyDescent="0.2">
      <c r="A30" s="12" t="s">
        <v>317</v>
      </c>
      <c r="B30" s="25">
        <f>B32-B7-B12-B21-B28</f>
        <v>26.100000000000023</v>
      </c>
      <c r="C30" s="25">
        <f>C32-C7-C12-C21-C28</f>
        <v>27.799999999999898</v>
      </c>
      <c r="D30" s="25">
        <f>D32-D7-D12-D21-D28</f>
        <v>23.000000000000057</v>
      </c>
      <c r="E30" s="25">
        <f>E32-E7-E12-E21-E28</f>
        <v>7.5000000000001137</v>
      </c>
      <c r="F30" s="25">
        <f>F32-F7-F12-F21-F28</f>
        <v>7.8000000000000114</v>
      </c>
      <c r="G30" s="25" t="s">
        <v>152</v>
      </c>
      <c r="H30" s="25" t="s">
        <v>152</v>
      </c>
      <c r="I30" s="25" t="s">
        <v>152</v>
      </c>
      <c r="J30" s="25" t="s">
        <v>152</v>
      </c>
      <c r="K30" s="25">
        <v>1.9</v>
      </c>
      <c r="L30" s="25">
        <v>2.2999999999999998</v>
      </c>
      <c r="M30" s="25">
        <v>2.2999999999999998</v>
      </c>
      <c r="N30" s="25">
        <v>1.8</v>
      </c>
      <c r="O30" s="25">
        <v>2.5</v>
      </c>
      <c r="P30" s="25">
        <v>12.2</v>
      </c>
      <c r="Q30" s="25">
        <v>14.3</v>
      </c>
      <c r="R30" s="141">
        <v>0</v>
      </c>
      <c r="S30" s="141">
        <v>0</v>
      </c>
      <c r="T30" s="141">
        <v>0</v>
      </c>
      <c r="U30" s="141">
        <v>0</v>
      </c>
      <c r="V30" s="141">
        <v>0</v>
      </c>
      <c r="W30" s="141">
        <v>0</v>
      </c>
      <c r="X30" s="141">
        <v>0</v>
      </c>
      <c r="Y30" s="141">
        <v>0</v>
      </c>
      <c r="Z30" s="141">
        <v>0</v>
      </c>
      <c r="AA30" s="141">
        <v>0</v>
      </c>
      <c r="AB30" s="141">
        <v>0</v>
      </c>
      <c r="AC30" s="141">
        <v>0</v>
      </c>
      <c r="AD30" s="141">
        <v>0</v>
      </c>
      <c r="AE30" s="141">
        <v>0</v>
      </c>
      <c r="AF30" s="141">
        <v>0</v>
      </c>
      <c r="AG30" s="141">
        <v>0</v>
      </c>
      <c r="AH30" s="141">
        <v>0</v>
      </c>
      <c r="AI30" s="141">
        <v>0</v>
      </c>
      <c r="AJ30" s="141">
        <v>0</v>
      </c>
      <c r="AK30" s="141">
        <v>0</v>
      </c>
      <c r="AL30" s="141">
        <v>0</v>
      </c>
      <c r="AM30" s="141">
        <v>0</v>
      </c>
      <c r="AN30" s="141">
        <v>0</v>
      </c>
      <c r="AO30" s="141">
        <v>0</v>
      </c>
      <c r="AP30" s="141">
        <v>0</v>
      </c>
      <c r="AQ30" s="141">
        <v>0</v>
      </c>
      <c r="AR30" s="141">
        <v>0</v>
      </c>
      <c r="AS30" s="141">
        <v>0</v>
      </c>
      <c r="AT30" s="141">
        <v>0</v>
      </c>
    </row>
    <row r="31" spans="1:46" x14ac:dyDescent="0.2">
      <c r="A31" s="12"/>
      <c r="B31" s="25"/>
      <c r="C31" s="25"/>
      <c r="D31" s="25"/>
      <c r="E31" s="25"/>
      <c r="F31" s="25"/>
      <c r="G31" s="25"/>
      <c r="H31" s="25"/>
      <c r="I31" s="25"/>
      <c r="J31" s="25"/>
      <c r="K31" s="25"/>
      <c r="L31" s="25"/>
      <c r="M31" s="25"/>
      <c r="N31" s="25"/>
      <c r="O31" s="25"/>
      <c r="P31" s="25"/>
      <c r="Q31" s="25"/>
      <c r="R31" s="25"/>
      <c r="S31" s="25"/>
      <c r="T31" s="25"/>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row>
    <row r="32" spans="1:46" x14ac:dyDescent="0.2">
      <c r="A32" s="152" t="s">
        <v>318</v>
      </c>
      <c r="B32" s="140">
        <v>1231.3</v>
      </c>
      <c r="C32" s="140">
        <v>1251.5999999999999</v>
      </c>
      <c r="D32" s="140">
        <v>1054.2</v>
      </c>
      <c r="E32" s="140">
        <v>1081.4000000000001</v>
      </c>
      <c r="F32" s="140">
        <v>1123.5999999999999</v>
      </c>
      <c r="G32" s="140">
        <v>1124.5</v>
      </c>
      <c r="H32" s="140">
        <v>1231.5</v>
      </c>
      <c r="I32" s="140">
        <v>1266.7</v>
      </c>
      <c r="J32" s="140">
        <v>1327.2</v>
      </c>
      <c r="K32" s="140">
        <v>1324.4</v>
      </c>
      <c r="L32" s="140">
        <v>1400.4</v>
      </c>
      <c r="M32" s="140">
        <v>1427.4</v>
      </c>
      <c r="N32" s="140">
        <v>1436.7</v>
      </c>
      <c r="O32" s="140">
        <v>1437.7</v>
      </c>
      <c r="P32" s="140">
        <v>1475.8</v>
      </c>
      <c r="Q32" s="140">
        <v>1444.6</v>
      </c>
      <c r="R32" s="140">
        <v>1368.4</v>
      </c>
      <c r="S32" s="140">
        <v>1459.3</v>
      </c>
      <c r="T32" s="140">
        <v>1497.8</v>
      </c>
      <c r="U32" s="140">
        <v>1560.6</v>
      </c>
      <c r="V32" s="140">
        <v>1564.2</v>
      </c>
      <c r="W32" s="140">
        <v>1365.3</v>
      </c>
      <c r="X32" s="140">
        <v>1427.3</v>
      </c>
      <c r="Y32" s="140">
        <v>1365.4</v>
      </c>
      <c r="Z32" s="140">
        <v>1345.6</v>
      </c>
      <c r="AA32" s="140">
        <v>1299.8</v>
      </c>
      <c r="AB32" s="140">
        <f t="shared" ref="AB32:AO32" si="9">+AB7+AB12+AB21+AB28+AB30</f>
        <v>1366.2</v>
      </c>
      <c r="AC32" s="140">
        <f t="shared" si="9"/>
        <v>1268.8</v>
      </c>
      <c r="AD32" s="140">
        <f t="shared" si="9"/>
        <v>1090.7</v>
      </c>
      <c r="AE32" s="140">
        <f t="shared" si="9"/>
        <v>1185.8</v>
      </c>
      <c r="AF32" s="140">
        <f t="shared" si="9"/>
        <v>1171.9000000000001</v>
      </c>
      <c r="AG32" s="140">
        <f t="shared" si="9"/>
        <v>1232.8</v>
      </c>
      <c r="AH32" s="140">
        <f t="shared" si="9"/>
        <v>1230.0999999999999</v>
      </c>
      <c r="AI32" s="140">
        <f t="shared" si="9"/>
        <v>1198</v>
      </c>
      <c r="AJ32" s="140">
        <f t="shared" si="9"/>
        <v>1162.5</v>
      </c>
      <c r="AK32" s="140">
        <f t="shared" si="9"/>
        <v>1159.8</v>
      </c>
      <c r="AL32" s="140">
        <f t="shared" si="9"/>
        <v>1163.4000000000001</v>
      </c>
      <c r="AM32" s="140">
        <f t="shared" si="9"/>
        <v>1131.4000000000001</v>
      </c>
      <c r="AN32" s="186">
        <f t="shared" si="9"/>
        <v>1114.0999999999999</v>
      </c>
      <c r="AO32" s="186">
        <f t="shared" si="9"/>
        <v>1134.5</v>
      </c>
      <c r="AP32" s="140">
        <f>+AP7+AP12+AP21+AP28+AP30</f>
        <v>1162.2</v>
      </c>
      <c r="AQ32" s="140">
        <f t="shared" ref="AQ32" si="10">+AQ7+AQ12+AQ21+AQ28+AQ30</f>
        <v>1161</v>
      </c>
      <c r="AR32" s="140">
        <f>+AR7+AR12+AR21+AR28+AR30</f>
        <v>1159.6000000000001</v>
      </c>
      <c r="AS32" s="140">
        <f>+AS7+AS12+AS21+AS28+AS30</f>
        <v>1125</v>
      </c>
      <c r="AT32" s="189">
        <f>+AT7+AT12+AT21+AT28+AT30</f>
        <v>1104.3</v>
      </c>
    </row>
    <row r="33" spans="1:46" x14ac:dyDescent="0.2">
      <c r="A33" s="12"/>
      <c r="B33" s="12"/>
      <c r="C33" s="12"/>
      <c r="D33" s="12"/>
      <c r="E33" s="12"/>
      <c r="F33" s="12"/>
      <c r="G33" s="12"/>
      <c r="H33" s="12"/>
      <c r="I33" s="12"/>
      <c r="J33" s="12"/>
      <c r="K33" s="12"/>
      <c r="L33" s="12"/>
      <c r="M33" s="12"/>
      <c r="N33" s="12"/>
      <c r="O33" s="12"/>
      <c r="P33" s="12"/>
      <c r="Q33" s="12"/>
      <c r="R33" s="12"/>
      <c r="S33" s="22"/>
      <c r="T33" s="22"/>
    </row>
    <row r="34" spans="1:46" x14ac:dyDescent="0.2">
      <c r="A34" s="12"/>
      <c r="B34" s="12"/>
      <c r="C34" s="12"/>
      <c r="D34" s="12"/>
      <c r="E34" s="12"/>
      <c r="F34" s="12"/>
      <c r="G34" s="12"/>
      <c r="H34" s="12"/>
      <c r="I34" s="12"/>
      <c r="J34" s="12"/>
      <c r="K34" s="12"/>
      <c r="L34" s="12"/>
      <c r="M34" s="12"/>
      <c r="N34" s="12"/>
      <c r="O34" s="12"/>
      <c r="P34" s="12"/>
      <c r="Q34" s="12"/>
      <c r="R34" s="12"/>
      <c r="S34" s="12"/>
      <c r="T34" s="12"/>
    </row>
    <row r="35" spans="1:46" x14ac:dyDescent="0.2">
      <c r="A35" s="12"/>
      <c r="B35" s="8"/>
      <c r="C35" s="8"/>
      <c r="D35" s="8"/>
      <c r="E35" s="8"/>
      <c r="F35" s="8"/>
      <c r="G35" s="8"/>
      <c r="H35" s="8"/>
      <c r="I35" s="13"/>
      <c r="J35" s="13"/>
      <c r="K35" s="13"/>
      <c r="L35" s="14"/>
      <c r="M35" s="14"/>
      <c r="N35" s="13"/>
      <c r="O35" s="26"/>
      <c r="P35" s="13"/>
      <c r="Q35" s="13"/>
      <c r="R35" s="13"/>
      <c r="S35" s="13"/>
      <c r="T35" s="13"/>
      <c r="U35" s="27"/>
      <c r="V35" s="9"/>
      <c r="W35" s="9"/>
      <c r="X35" s="9"/>
      <c r="Y35" s="9"/>
      <c r="Z35" s="9"/>
      <c r="AA35" s="9"/>
      <c r="AB35" s="9"/>
      <c r="AC35" s="11"/>
      <c r="AD35" s="11"/>
      <c r="AE35" s="11"/>
      <c r="AF35" s="11"/>
      <c r="AG35" s="11"/>
      <c r="AH35" s="11"/>
      <c r="AI35" s="11"/>
      <c r="AJ35" s="11"/>
    </row>
    <row r="36" spans="1:46" ht="22.5" x14ac:dyDescent="0.2">
      <c r="A36" s="197" t="s">
        <v>297</v>
      </c>
      <c r="B36" s="15" t="s">
        <v>199</v>
      </c>
      <c r="C36" s="15" t="s">
        <v>200</v>
      </c>
      <c r="D36" s="15" t="s">
        <v>201</v>
      </c>
      <c r="E36" s="15" t="s">
        <v>202</v>
      </c>
      <c r="F36" s="15" t="s">
        <v>203</v>
      </c>
      <c r="G36" s="15" t="s">
        <v>204</v>
      </c>
      <c r="H36" s="15" t="s">
        <v>205</v>
      </c>
      <c r="I36" s="16" t="s">
        <v>206</v>
      </c>
      <c r="J36" s="16" t="s">
        <v>207</v>
      </c>
      <c r="K36" s="16" t="s">
        <v>208</v>
      </c>
      <c r="L36" s="16" t="s">
        <v>209</v>
      </c>
      <c r="M36" s="28" t="s">
        <v>210</v>
      </c>
      <c r="N36" s="28" t="s">
        <v>211</v>
      </c>
      <c r="O36" s="28" t="s">
        <v>212</v>
      </c>
      <c r="P36" s="28" t="s">
        <v>213</v>
      </c>
      <c r="Q36" s="28" t="s">
        <v>214</v>
      </c>
      <c r="R36" s="28" t="s">
        <v>215</v>
      </c>
      <c r="S36" s="28" t="s">
        <v>216</v>
      </c>
      <c r="T36" s="28" t="s">
        <v>217</v>
      </c>
      <c r="U36" s="29" t="s">
        <v>291</v>
      </c>
      <c r="V36" s="29" t="s">
        <v>292</v>
      </c>
      <c r="W36" s="29" t="s">
        <v>293</v>
      </c>
      <c r="X36" s="29" t="s">
        <v>294</v>
      </c>
      <c r="Y36" s="29" t="s">
        <v>222</v>
      </c>
      <c r="Z36" s="29" t="s">
        <v>223</v>
      </c>
      <c r="AA36" s="29" t="s">
        <v>224</v>
      </c>
      <c r="AB36" s="29" t="s">
        <v>225</v>
      </c>
      <c r="AC36" s="29" t="s">
        <v>226</v>
      </c>
      <c r="AD36" s="29" t="s">
        <v>227</v>
      </c>
      <c r="AE36" s="29" t="s">
        <v>228</v>
      </c>
      <c r="AF36" s="29" t="s">
        <v>229</v>
      </c>
      <c r="AG36" s="29" t="s">
        <v>230</v>
      </c>
      <c r="AH36" s="29" t="s">
        <v>231</v>
      </c>
      <c r="AI36" s="29" t="s">
        <v>232</v>
      </c>
      <c r="AJ36" s="29" t="s">
        <v>233</v>
      </c>
      <c r="AK36" s="30" t="s">
        <v>234</v>
      </c>
      <c r="AL36" s="30" t="s">
        <v>235</v>
      </c>
      <c r="AM36" s="30" t="s">
        <v>236</v>
      </c>
      <c r="AN36" s="30" t="s">
        <v>237</v>
      </c>
      <c r="AO36" s="30" t="s">
        <v>238</v>
      </c>
      <c r="AP36" s="30" t="s">
        <v>239</v>
      </c>
      <c r="AQ36" s="17" t="s">
        <v>348</v>
      </c>
      <c r="AR36" s="17" t="s">
        <v>379</v>
      </c>
      <c r="AS36" s="169" t="s">
        <v>378</v>
      </c>
      <c r="AT36" s="169" t="s">
        <v>377</v>
      </c>
    </row>
    <row r="37" spans="1:46" x14ac:dyDescent="0.2">
      <c r="A37" s="12" t="s">
        <v>411</v>
      </c>
      <c r="B37" s="12"/>
      <c r="C37" s="12"/>
      <c r="D37" s="12"/>
      <c r="E37" s="12"/>
      <c r="F37" s="12"/>
      <c r="G37" s="12"/>
      <c r="H37" s="31"/>
      <c r="I37" s="19"/>
      <c r="J37" s="19"/>
      <c r="K37" s="19"/>
      <c r="N37" s="19"/>
      <c r="O37" s="19"/>
      <c r="P37" s="19"/>
      <c r="Q37" s="19"/>
      <c r="R37" s="19"/>
      <c r="S37" s="19"/>
      <c r="T37" s="19"/>
      <c r="U37" s="20"/>
    </row>
    <row r="38" spans="1:46" x14ac:dyDescent="0.2">
      <c r="A38" s="12" t="s">
        <v>298</v>
      </c>
      <c r="B38" s="22"/>
      <c r="C38" s="22"/>
      <c r="D38" s="22"/>
      <c r="E38" s="22"/>
      <c r="F38" s="22"/>
      <c r="G38" s="22"/>
      <c r="H38" s="12"/>
      <c r="I38" s="12"/>
      <c r="J38" s="12"/>
      <c r="K38" s="12"/>
      <c r="L38" s="12"/>
      <c r="M38" s="12"/>
      <c r="N38" s="12"/>
      <c r="O38" s="12"/>
      <c r="P38" s="12"/>
      <c r="Q38" s="12"/>
      <c r="R38" s="12"/>
      <c r="S38" s="12"/>
      <c r="T38" s="12"/>
    </row>
    <row r="39" spans="1:46" x14ac:dyDescent="0.2">
      <c r="A39" s="12" t="s">
        <v>299</v>
      </c>
      <c r="B39" s="25">
        <v>97</v>
      </c>
      <c r="C39" s="25">
        <v>99</v>
      </c>
      <c r="D39" s="25">
        <v>96.5</v>
      </c>
      <c r="E39" s="25">
        <v>104</v>
      </c>
      <c r="F39" s="25">
        <v>108</v>
      </c>
      <c r="G39" s="25">
        <v>118</v>
      </c>
      <c r="H39" s="25">
        <v>110</v>
      </c>
      <c r="I39" s="25">
        <v>142</v>
      </c>
      <c r="J39" s="25">
        <v>145</v>
      </c>
      <c r="K39" s="25">
        <v>150</v>
      </c>
      <c r="L39" s="25">
        <v>157</v>
      </c>
      <c r="M39" s="25">
        <v>166</v>
      </c>
      <c r="N39" s="25">
        <v>175</v>
      </c>
      <c r="O39" s="25">
        <v>187</v>
      </c>
      <c r="P39" s="25">
        <v>187</v>
      </c>
      <c r="Q39" s="25">
        <v>188</v>
      </c>
      <c r="R39" s="25">
        <v>130</v>
      </c>
      <c r="S39" s="25">
        <v>160</v>
      </c>
      <c r="T39" s="25">
        <v>173</v>
      </c>
      <c r="U39" s="141">
        <v>190</v>
      </c>
      <c r="V39" s="141">
        <v>166</v>
      </c>
      <c r="W39" s="141">
        <v>166</v>
      </c>
      <c r="X39" s="141">
        <v>177</v>
      </c>
      <c r="Y39" s="141">
        <v>178</v>
      </c>
      <c r="Z39" s="141">
        <v>163</v>
      </c>
      <c r="AA39" s="141">
        <v>152</v>
      </c>
      <c r="AB39" s="141">
        <v>154</v>
      </c>
      <c r="AC39" s="141">
        <v>149</v>
      </c>
      <c r="AD39" s="141">
        <v>136</v>
      </c>
      <c r="AE39" s="141">
        <v>136</v>
      </c>
      <c r="AF39" s="141">
        <v>147</v>
      </c>
      <c r="AG39" s="141">
        <v>153</v>
      </c>
      <c r="AH39" s="141">
        <v>153</v>
      </c>
      <c r="AI39" s="141">
        <v>153</v>
      </c>
      <c r="AJ39" s="141">
        <v>150</v>
      </c>
      <c r="AK39" s="141">
        <v>151</v>
      </c>
      <c r="AL39" s="141">
        <v>149</v>
      </c>
      <c r="AM39" s="141">
        <v>143</v>
      </c>
      <c r="AN39" s="141">
        <v>149</v>
      </c>
      <c r="AO39" s="141">
        <v>145</v>
      </c>
      <c r="AP39" s="141">
        <v>154</v>
      </c>
      <c r="AQ39" s="141">
        <v>142</v>
      </c>
      <c r="AR39" s="141">
        <v>138</v>
      </c>
      <c r="AS39" s="141">
        <v>132</v>
      </c>
      <c r="AT39" s="141">
        <v>134.30000000000001</v>
      </c>
    </row>
    <row r="40" spans="1:46" x14ac:dyDescent="0.2">
      <c r="A40" s="12" t="s">
        <v>300</v>
      </c>
      <c r="B40" s="25">
        <v>17.8</v>
      </c>
      <c r="C40" s="25">
        <v>14.4</v>
      </c>
      <c r="D40" s="25" t="s">
        <v>152</v>
      </c>
      <c r="E40" s="25">
        <v>12.6</v>
      </c>
      <c r="F40" s="25">
        <v>10.7</v>
      </c>
      <c r="G40" s="25">
        <v>12.7</v>
      </c>
      <c r="H40" s="25">
        <v>15</v>
      </c>
      <c r="I40" s="25">
        <v>16.2</v>
      </c>
      <c r="J40" s="25">
        <v>14.7</v>
      </c>
      <c r="K40" s="25">
        <v>11.9</v>
      </c>
      <c r="L40" s="25">
        <v>19.2</v>
      </c>
      <c r="M40" s="25">
        <v>18.5</v>
      </c>
      <c r="N40" s="25">
        <v>20.5</v>
      </c>
      <c r="O40" s="25">
        <v>17.5</v>
      </c>
      <c r="P40" s="25">
        <v>16</v>
      </c>
      <c r="Q40" s="25">
        <v>15.3</v>
      </c>
      <c r="R40" s="25">
        <v>4.5999999999999996</v>
      </c>
      <c r="S40" s="25">
        <v>0.9</v>
      </c>
      <c r="T40" s="25">
        <v>1.1000000000000001</v>
      </c>
      <c r="U40" s="141">
        <v>1.7</v>
      </c>
      <c r="V40" s="141">
        <v>0.8</v>
      </c>
      <c r="W40" s="141">
        <v>0.6</v>
      </c>
      <c r="X40" s="141">
        <v>1.8</v>
      </c>
      <c r="Y40" s="141">
        <v>1.9</v>
      </c>
      <c r="Z40" s="141">
        <v>1.7</v>
      </c>
      <c r="AA40" s="141">
        <v>0</v>
      </c>
      <c r="AB40" s="141">
        <v>0</v>
      </c>
      <c r="AC40" s="141">
        <v>0</v>
      </c>
      <c r="AD40" s="141">
        <v>0</v>
      </c>
      <c r="AE40" s="141">
        <v>0</v>
      </c>
      <c r="AF40" s="141">
        <v>0</v>
      </c>
      <c r="AG40" s="141">
        <v>0</v>
      </c>
      <c r="AH40" s="141">
        <v>0</v>
      </c>
      <c r="AI40" s="141">
        <v>0</v>
      </c>
      <c r="AJ40" s="141">
        <v>0</v>
      </c>
      <c r="AK40" s="141">
        <v>0</v>
      </c>
      <c r="AL40" s="141">
        <v>0</v>
      </c>
      <c r="AM40" s="141">
        <v>0</v>
      </c>
      <c r="AN40" s="141">
        <v>0</v>
      </c>
      <c r="AO40" s="141">
        <v>0</v>
      </c>
      <c r="AP40" s="141">
        <v>0</v>
      </c>
      <c r="AQ40" s="141">
        <v>0</v>
      </c>
      <c r="AR40" s="141">
        <v>0</v>
      </c>
      <c r="AS40" s="141">
        <v>0</v>
      </c>
      <c r="AT40" s="141">
        <v>0</v>
      </c>
    </row>
    <row r="41" spans="1:46" x14ac:dyDescent="0.2">
      <c r="A41" s="12" t="s">
        <v>301</v>
      </c>
      <c r="B41" s="25">
        <f>B39+B40</f>
        <v>114.8</v>
      </c>
      <c r="C41" s="25">
        <f>C39+C40</f>
        <v>113.4</v>
      </c>
      <c r="D41" s="25">
        <f>D39</f>
        <v>96.5</v>
      </c>
      <c r="E41" s="25">
        <f>E39+E40</f>
        <v>116.6</v>
      </c>
      <c r="F41" s="25">
        <f t="shared" ref="F41:K41" si="11">F39+F40</f>
        <v>118.7</v>
      </c>
      <c r="G41" s="25">
        <f t="shared" si="11"/>
        <v>130.69999999999999</v>
      </c>
      <c r="H41" s="25">
        <f t="shared" si="11"/>
        <v>125</v>
      </c>
      <c r="I41" s="25">
        <f t="shared" si="11"/>
        <v>158.19999999999999</v>
      </c>
      <c r="J41" s="25">
        <f t="shared" si="11"/>
        <v>159.69999999999999</v>
      </c>
      <c r="K41" s="25">
        <f t="shared" si="11"/>
        <v>161.9</v>
      </c>
      <c r="L41" s="25">
        <f t="shared" ref="L41:AO41" si="12">SUM(L39:L40)</f>
        <v>176.2</v>
      </c>
      <c r="M41" s="25">
        <f t="shared" si="12"/>
        <v>184.5</v>
      </c>
      <c r="N41" s="25">
        <f t="shared" si="12"/>
        <v>195.5</v>
      </c>
      <c r="O41" s="25">
        <f t="shared" si="12"/>
        <v>204.5</v>
      </c>
      <c r="P41" s="25">
        <f t="shared" si="12"/>
        <v>203</v>
      </c>
      <c r="Q41" s="25">
        <f t="shared" si="12"/>
        <v>203.3</v>
      </c>
      <c r="R41" s="25">
        <f t="shared" si="12"/>
        <v>134.6</v>
      </c>
      <c r="S41" s="25">
        <f t="shared" si="12"/>
        <v>160.9</v>
      </c>
      <c r="T41" s="25">
        <f t="shared" si="12"/>
        <v>174.1</v>
      </c>
      <c r="U41" s="25">
        <f t="shared" si="12"/>
        <v>191.7</v>
      </c>
      <c r="V41" s="25">
        <f t="shared" si="12"/>
        <v>166.8</v>
      </c>
      <c r="W41" s="25">
        <f t="shared" si="12"/>
        <v>166.6</v>
      </c>
      <c r="X41" s="25">
        <f t="shared" si="12"/>
        <v>178.8</v>
      </c>
      <c r="Y41" s="25">
        <f t="shared" si="12"/>
        <v>179.9</v>
      </c>
      <c r="Z41" s="25">
        <f t="shared" si="12"/>
        <v>164.7</v>
      </c>
      <c r="AA41" s="25">
        <f t="shared" si="12"/>
        <v>152</v>
      </c>
      <c r="AB41" s="25">
        <f t="shared" si="12"/>
        <v>154</v>
      </c>
      <c r="AC41" s="25">
        <f t="shared" si="12"/>
        <v>149</v>
      </c>
      <c r="AD41" s="25">
        <f t="shared" si="12"/>
        <v>136</v>
      </c>
      <c r="AE41" s="25">
        <f t="shared" si="12"/>
        <v>136</v>
      </c>
      <c r="AF41" s="25">
        <f t="shared" si="12"/>
        <v>147</v>
      </c>
      <c r="AG41" s="25">
        <f t="shared" si="12"/>
        <v>153</v>
      </c>
      <c r="AH41" s="25">
        <f t="shared" si="12"/>
        <v>153</v>
      </c>
      <c r="AI41" s="25">
        <f t="shared" si="12"/>
        <v>153</v>
      </c>
      <c r="AJ41" s="25">
        <f t="shared" si="12"/>
        <v>150</v>
      </c>
      <c r="AK41" s="25">
        <f t="shared" si="12"/>
        <v>151</v>
      </c>
      <c r="AL41" s="25">
        <f t="shared" si="12"/>
        <v>149</v>
      </c>
      <c r="AM41" s="25">
        <f t="shared" si="12"/>
        <v>143</v>
      </c>
      <c r="AN41" s="141">
        <f t="shared" si="12"/>
        <v>149</v>
      </c>
      <c r="AO41" s="141">
        <f t="shared" si="12"/>
        <v>145</v>
      </c>
      <c r="AP41" s="25">
        <f>SUM(AP39:AP40)</f>
        <v>154</v>
      </c>
      <c r="AQ41" s="25">
        <f t="shared" ref="AQ41:AT41" si="13">SUM(AQ39:AQ40)</f>
        <v>142</v>
      </c>
      <c r="AR41" s="25">
        <f t="shared" si="13"/>
        <v>138</v>
      </c>
      <c r="AS41" s="25">
        <f t="shared" si="13"/>
        <v>132</v>
      </c>
      <c r="AT41" s="141">
        <f t="shared" si="13"/>
        <v>134.30000000000001</v>
      </c>
    </row>
    <row r="42" spans="1:46" x14ac:dyDescent="0.2">
      <c r="A42" s="12"/>
      <c r="B42" s="25"/>
      <c r="C42" s="25"/>
      <c r="D42" s="25"/>
      <c r="E42" s="25"/>
      <c r="F42" s="25"/>
      <c r="G42" s="25"/>
      <c r="H42" s="25"/>
      <c r="I42" s="25"/>
      <c r="J42" s="25"/>
      <c r="K42" s="25"/>
      <c r="L42" s="25"/>
      <c r="M42" s="25"/>
      <c r="N42" s="25"/>
      <c r="O42" s="25"/>
      <c r="P42" s="25"/>
      <c r="Q42" s="25"/>
      <c r="R42" s="25"/>
      <c r="S42" s="25"/>
      <c r="T42" s="25"/>
      <c r="U42" s="25"/>
      <c r="V42" s="141"/>
      <c r="W42" s="141"/>
      <c r="X42" s="141"/>
      <c r="Y42" s="141"/>
      <c r="Z42" s="141"/>
      <c r="AA42" s="141"/>
      <c r="AB42" s="141"/>
      <c r="AC42" s="142"/>
      <c r="AD42" s="142"/>
      <c r="AE42" s="142"/>
      <c r="AF42" s="142"/>
      <c r="AG42" s="142"/>
      <c r="AH42" s="142"/>
      <c r="AI42" s="142"/>
      <c r="AJ42" s="142"/>
      <c r="AK42" s="142"/>
      <c r="AL42" s="142"/>
      <c r="AM42" s="142"/>
      <c r="AN42" s="142"/>
      <c r="AO42" s="142"/>
      <c r="AP42" s="142"/>
      <c r="AQ42" s="142"/>
      <c r="AR42" s="142"/>
      <c r="AS42" s="142"/>
      <c r="AT42" s="142"/>
    </row>
    <row r="43" spans="1:46" x14ac:dyDescent="0.2">
      <c r="A43" s="12" t="s">
        <v>319</v>
      </c>
      <c r="B43" s="25"/>
      <c r="C43" s="25"/>
      <c r="D43" s="25"/>
      <c r="E43" s="25"/>
      <c r="F43" s="25"/>
      <c r="G43" s="25"/>
      <c r="H43" s="25"/>
      <c r="I43" s="25"/>
      <c r="J43" s="25"/>
      <c r="K43" s="25"/>
      <c r="L43" s="25"/>
      <c r="M43" s="25"/>
      <c r="N43" s="25"/>
      <c r="O43" s="25"/>
      <c r="P43" s="25"/>
      <c r="Q43" s="25"/>
      <c r="R43" s="25"/>
      <c r="S43" s="25"/>
      <c r="T43" s="25"/>
      <c r="U43" s="141"/>
      <c r="V43" s="141"/>
      <c r="W43" s="141"/>
      <c r="X43" s="141"/>
      <c r="Y43" s="141"/>
      <c r="Z43" s="141"/>
      <c r="AA43" s="141"/>
      <c r="AB43" s="141"/>
      <c r="AC43" s="142"/>
      <c r="AD43" s="142"/>
      <c r="AE43" s="142"/>
      <c r="AF43" s="142"/>
      <c r="AG43" s="142"/>
      <c r="AH43" s="142"/>
      <c r="AI43" s="142"/>
      <c r="AJ43" s="142"/>
      <c r="AK43" s="142"/>
      <c r="AL43" s="142"/>
      <c r="AM43" s="142"/>
      <c r="AN43" s="142"/>
      <c r="AO43" s="142"/>
      <c r="AP43" s="142"/>
      <c r="AQ43" s="142"/>
      <c r="AR43" s="142"/>
      <c r="AS43" s="142"/>
      <c r="AT43" s="142"/>
    </row>
    <row r="44" spans="1:46" x14ac:dyDescent="0.2">
      <c r="A44" s="12" t="s">
        <v>303</v>
      </c>
      <c r="B44" s="25">
        <v>243</v>
      </c>
      <c r="C44" s="25">
        <v>256</v>
      </c>
      <c r="D44" s="25">
        <v>252</v>
      </c>
      <c r="E44" s="25">
        <v>259</v>
      </c>
      <c r="F44" s="25">
        <v>263</v>
      </c>
      <c r="G44" s="25">
        <v>276</v>
      </c>
      <c r="H44" s="25">
        <v>311</v>
      </c>
      <c r="I44" s="25">
        <v>310</v>
      </c>
      <c r="J44" s="25">
        <v>334</v>
      </c>
      <c r="K44" s="25">
        <v>341</v>
      </c>
      <c r="L44" s="25">
        <v>364</v>
      </c>
      <c r="M44" s="25">
        <v>363</v>
      </c>
      <c r="N44" s="25">
        <v>370</v>
      </c>
      <c r="O44" s="25">
        <v>379</v>
      </c>
      <c r="P44" s="25">
        <v>411</v>
      </c>
      <c r="Q44" s="25">
        <v>420</v>
      </c>
      <c r="R44" s="25">
        <v>438</v>
      </c>
      <c r="S44" s="25">
        <v>446</v>
      </c>
      <c r="T44" s="25">
        <v>458</v>
      </c>
      <c r="U44" s="141">
        <v>470</v>
      </c>
      <c r="V44" s="141">
        <v>430</v>
      </c>
      <c r="W44" s="141">
        <v>426</v>
      </c>
      <c r="X44" s="141">
        <v>476</v>
      </c>
      <c r="Y44" s="141">
        <v>487</v>
      </c>
      <c r="Z44" s="141">
        <v>470</v>
      </c>
      <c r="AA44" s="141">
        <v>460</v>
      </c>
      <c r="AB44" s="141">
        <v>477</v>
      </c>
      <c r="AC44" s="141">
        <v>481</v>
      </c>
      <c r="AD44" s="141">
        <v>399</v>
      </c>
      <c r="AE44" s="141">
        <v>449</v>
      </c>
      <c r="AF44" s="141">
        <v>441</v>
      </c>
      <c r="AG44" s="141">
        <v>469</v>
      </c>
      <c r="AH44" s="141">
        <v>463</v>
      </c>
      <c r="AI44" s="141">
        <v>426</v>
      </c>
      <c r="AJ44" s="141">
        <v>434</v>
      </c>
      <c r="AK44" s="141">
        <v>435</v>
      </c>
      <c r="AL44" s="141">
        <v>417</v>
      </c>
      <c r="AM44" s="141">
        <v>409</v>
      </c>
      <c r="AN44" s="141">
        <v>408</v>
      </c>
      <c r="AO44" s="141">
        <v>337</v>
      </c>
      <c r="AP44" s="141">
        <v>429</v>
      </c>
      <c r="AQ44" s="141">
        <v>396</v>
      </c>
      <c r="AR44" s="141">
        <v>431</v>
      </c>
      <c r="AS44" s="141">
        <v>425.5</v>
      </c>
      <c r="AT44" s="141">
        <v>400.6</v>
      </c>
    </row>
    <row r="45" spans="1:46" x14ac:dyDescent="0.2">
      <c r="A45" s="12" t="s">
        <v>304</v>
      </c>
      <c r="B45" s="25">
        <v>142.69999999999999</v>
      </c>
      <c r="C45" s="25">
        <v>144.9</v>
      </c>
      <c r="D45" s="25">
        <v>144.80000000000001</v>
      </c>
      <c r="E45" s="25">
        <v>142.19999999999999</v>
      </c>
      <c r="F45" s="25">
        <v>139.1</v>
      </c>
      <c r="G45" s="25">
        <v>144.19999999999999</v>
      </c>
      <c r="H45" s="25">
        <v>163.80000000000001</v>
      </c>
      <c r="I45" s="25">
        <v>161.30000000000001</v>
      </c>
      <c r="J45" s="25">
        <v>175.5</v>
      </c>
      <c r="K45" s="25">
        <v>180.1</v>
      </c>
      <c r="L45" s="25">
        <v>193.2</v>
      </c>
      <c r="M45" s="25">
        <v>193.9</v>
      </c>
      <c r="N45" s="25">
        <v>194.7</v>
      </c>
      <c r="O45" s="25">
        <v>190.9</v>
      </c>
      <c r="P45" s="25">
        <v>201.5</v>
      </c>
      <c r="Q45" s="25">
        <v>204.2</v>
      </c>
      <c r="R45" s="25">
        <v>225.3</v>
      </c>
      <c r="S45" s="25">
        <v>227.5</v>
      </c>
      <c r="T45" s="25">
        <v>242.6</v>
      </c>
      <c r="U45" s="141">
        <v>247</v>
      </c>
      <c r="V45" s="141">
        <v>232</v>
      </c>
      <c r="W45" s="141">
        <v>237</v>
      </c>
      <c r="X45" s="141">
        <v>258</v>
      </c>
      <c r="Y45" s="141">
        <v>255</v>
      </c>
      <c r="Z45" s="141">
        <v>246</v>
      </c>
      <c r="AA45" s="141">
        <v>243</v>
      </c>
      <c r="AB45" s="141">
        <v>243</v>
      </c>
      <c r="AC45" s="141">
        <v>247</v>
      </c>
      <c r="AD45" s="141">
        <v>197</v>
      </c>
      <c r="AE45" s="141">
        <v>218</v>
      </c>
      <c r="AF45" s="141">
        <v>214</v>
      </c>
      <c r="AG45" s="141">
        <v>225</v>
      </c>
      <c r="AH45" s="141">
        <v>215</v>
      </c>
      <c r="AI45" s="141">
        <v>225</v>
      </c>
      <c r="AJ45" s="141">
        <v>214</v>
      </c>
      <c r="AK45" s="141">
        <v>206</v>
      </c>
      <c r="AL45" s="141">
        <v>203</v>
      </c>
      <c r="AM45" s="141">
        <v>212</v>
      </c>
      <c r="AN45" s="141">
        <v>199</v>
      </c>
      <c r="AO45" s="141">
        <v>170</v>
      </c>
      <c r="AP45" s="141">
        <v>218</v>
      </c>
      <c r="AQ45" s="141">
        <v>222</v>
      </c>
      <c r="AR45" s="141">
        <v>249</v>
      </c>
      <c r="AS45" s="141">
        <v>227</v>
      </c>
      <c r="AT45" s="141">
        <v>211.9</v>
      </c>
    </row>
    <row r="46" spans="1:46" x14ac:dyDescent="0.2">
      <c r="A46" s="12" t="s">
        <v>301</v>
      </c>
      <c r="B46" s="25">
        <f t="shared" ref="B46:AO46" si="14">SUM(B44:B45)</f>
        <v>385.7</v>
      </c>
      <c r="C46" s="25">
        <f t="shared" si="14"/>
        <v>400.9</v>
      </c>
      <c r="D46" s="25">
        <f t="shared" si="14"/>
        <v>396.8</v>
      </c>
      <c r="E46" s="25">
        <f t="shared" si="14"/>
        <v>401.2</v>
      </c>
      <c r="F46" s="25">
        <f t="shared" si="14"/>
        <v>402.1</v>
      </c>
      <c r="G46" s="25">
        <f t="shared" si="14"/>
        <v>420.2</v>
      </c>
      <c r="H46" s="25">
        <f t="shared" si="14"/>
        <v>474.8</v>
      </c>
      <c r="I46" s="25">
        <f t="shared" si="14"/>
        <v>471.3</v>
      </c>
      <c r="J46" s="25">
        <f t="shared" si="14"/>
        <v>509.5</v>
      </c>
      <c r="K46" s="25">
        <f t="shared" si="14"/>
        <v>521.1</v>
      </c>
      <c r="L46" s="25">
        <f t="shared" si="14"/>
        <v>557.20000000000005</v>
      </c>
      <c r="M46" s="25">
        <f t="shared" si="14"/>
        <v>556.9</v>
      </c>
      <c r="N46" s="25">
        <f t="shared" si="14"/>
        <v>564.70000000000005</v>
      </c>
      <c r="O46" s="25">
        <f t="shared" si="14"/>
        <v>569.9</v>
      </c>
      <c r="P46" s="25">
        <f t="shared" si="14"/>
        <v>612.5</v>
      </c>
      <c r="Q46" s="25">
        <f t="shared" si="14"/>
        <v>624.20000000000005</v>
      </c>
      <c r="R46" s="25">
        <f t="shared" si="14"/>
        <v>663.3</v>
      </c>
      <c r="S46" s="25">
        <f t="shared" si="14"/>
        <v>673.5</v>
      </c>
      <c r="T46" s="25">
        <f t="shared" si="14"/>
        <v>700.6</v>
      </c>
      <c r="U46" s="25">
        <f t="shared" si="14"/>
        <v>717</v>
      </c>
      <c r="V46" s="25">
        <f t="shared" si="14"/>
        <v>662</v>
      </c>
      <c r="W46" s="25">
        <f t="shared" si="14"/>
        <v>663</v>
      </c>
      <c r="X46" s="25">
        <f t="shared" si="14"/>
        <v>734</v>
      </c>
      <c r="Y46" s="25">
        <f t="shared" si="14"/>
        <v>742</v>
      </c>
      <c r="Z46" s="25">
        <f t="shared" si="14"/>
        <v>716</v>
      </c>
      <c r="AA46" s="25">
        <f t="shared" si="14"/>
        <v>703</v>
      </c>
      <c r="AB46" s="25">
        <f t="shared" si="14"/>
        <v>720</v>
      </c>
      <c r="AC46" s="25">
        <f t="shared" si="14"/>
        <v>728</v>
      </c>
      <c r="AD46" s="25">
        <f t="shared" si="14"/>
        <v>596</v>
      </c>
      <c r="AE46" s="25">
        <f t="shared" si="14"/>
        <v>667</v>
      </c>
      <c r="AF46" s="25">
        <f t="shared" si="14"/>
        <v>655</v>
      </c>
      <c r="AG46" s="25">
        <f t="shared" si="14"/>
        <v>694</v>
      </c>
      <c r="AH46" s="25">
        <f t="shared" si="14"/>
        <v>678</v>
      </c>
      <c r="AI46" s="25">
        <f t="shared" si="14"/>
        <v>651</v>
      </c>
      <c r="AJ46" s="25">
        <f t="shared" si="14"/>
        <v>648</v>
      </c>
      <c r="AK46" s="25">
        <f t="shared" si="14"/>
        <v>641</v>
      </c>
      <c r="AL46" s="25">
        <f t="shared" si="14"/>
        <v>620</v>
      </c>
      <c r="AM46" s="25">
        <f t="shared" si="14"/>
        <v>621</v>
      </c>
      <c r="AN46" s="141">
        <f t="shared" si="14"/>
        <v>607</v>
      </c>
      <c r="AO46" s="141">
        <f t="shared" si="14"/>
        <v>507</v>
      </c>
      <c r="AP46" s="25">
        <f>SUM(AP44:AP45)</f>
        <v>647</v>
      </c>
      <c r="AQ46" s="25">
        <f t="shared" ref="AQ46:AT46" si="15">SUM(AQ44:AQ45)</f>
        <v>618</v>
      </c>
      <c r="AR46" s="25">
        <f t="shared" si="15"/>
        <v>680</v>
      </c>
      <c r="AS46" s="25">
        <f t="shared" si="15"/>
        <v>652.5</v>
      </c>
      <c r="AT46" s="141">
        <f t="shared" si="15"/>
        <v>612.5</v>
      </c>
    </row>
    <row r="47" spans="1:46" x14ac:dyDescent="0.2">
      <c r="A47" s="12"/>
      <c r="B47" s="25"/>
      <c r="C47" s="25"/>
      <c r="D47" s="25"/>
      <c r="E47" s="25"/>
      <c r="F47" s="25"/>
      <c r="G47" s="25"/>
      <c r="H47" s="25"/>
      <c r="I47" s="25"/>
      <c r="J47" s="25"/>
      <c r="K47" s="25"/>
      <c r="L47" s="25"/>
      <c r="M47" s="25"/>
      <c r="N47" s="25"/>
      <c r="O47" s="25"/>
      <c r="P47" s="25"/>
      <c r="Q47" s="25"/>
      <c r="R47" s="25"/>
      <c r="S47" s="25"/>
      <c r="T47" s="25"/>
      <c r="U47" s="141"/>
      <c r="V47" s="141"/>
      <c r="W47" s="141"/>
      <c r="X47" s="141"/>
      <c r="Y47" s="141"/>
      <c r="Z47" s="141"/>
      <c r="AA47" s="141"/>
      <c r="AB47" s="141"/>
      <c r="AC47" s="142"/>
      <c r="AD47" s="142"/>
      <c r="AE47" s="142"/>
      <c r="AF47" s="142"/>
      <c r="AG47" s="142"/>
      <c r="AH47" s="142"/>
      <c r="AI47" s="142"/>
      <c r="AJ47" s="142"/>
      <c r="AK47" s="142"/>
      <c r="AL47" s="142"/>
      <c r="AM47" s="142"/>
      <c r="AN47" s="142"/>
      <c r="AO47" s="142"/>
      <c r="AP47" s="142"/>
      <c r="AQ47" s="142"/>
      <c r="AR47" s="142"/>
      <c r="AS47" s="142"/>
      <c r="AT47" s="142"/>
    </row>
    <row r="48" spans="1:46" x14ac:dyDescent="0.2">
      <c r="A48" s="12" t="s">
        <v>305</v>
      </c>
      <c r="B48" s="25"/>
      <c r="C48" s="25"/>
      <c r="D48" s="25"/>
      <c r="E48" s="25"/>
      <c r="F48" s="25"/>
      <c r="G48" s="25"/>
      <c r="H48" s="25"/>
      <c r="I48" s="25"/>
      <c r="J48" s="25"/>
      <c r="K48" s="25"/>
      <c r="L48" s="25"/>
      <c r="M48" s="25"/>
      <c r="N48" s="25"/>
      <c r="O48" s="25"/>
      <c r="P48" s="25"/>
      <c r="Q48" s="25"/>
      <c r="R48" s="25"/>
      <c r="S48" s="25"/>
      <c r="T48" s="25"/>
      <c r="U48" s="141"/>
      <c r="V48" s="141"/>
      <c r="W48" s="141"/>
      <c r="X48" s="141"/>
      <c r="Y48" s="141"/>
      <c r="Z48" s="141"/>
      <c r="AA48" s="141"/>
      <c r="AB48" s="141"/>
      <c r="AC48" s="142"/>
      <c r="AD48" s="142"/>
      <c r="AE48" s="142"/>
      <c r="AF48" s="142"/>
      <c r="AG48" s="142"/>
      <c r="AH48" s="142"/>
      <c r="AI48" s="142"/>
      <c r="AJ48" s="142"/>
      <c r="AK48" s="142"/>
      <c r="AL48" s="142"/>
      <c r="AM48" s="142"/>
      <c r="AN48" s="142"/>
      <c r="AO48" s="142"/>
      <c r="AP48" s="142"/>
      <c r="AQ48" s="142"/>
      <c r="AR48" s="142"/>
      <c r="AS48" s="142"/>
      <c r="AT48" s="142"/>
    </row>
    <row r="49" spans="1:46" x14ac:dyDescent="0.2">
      <c r="A49" s="12" t="s">
        <v>320</v>
      </c>
      <c r="B49" s="25">
        <v>91</v>
      </c>
      <c r="C49" s="25">
        <v>77</v>
      </c>
      <c r="D49" s="25">
        <v>46</v>
      </c>
      <c r="E49" s="25">
        <v>37.200000000000003</v>
      </c>
      <c r="F49" s="25">
        <v>44.2</v>
      </c>
      <c r="G49" s="25">
        <v>2.5</v>
      </c>
      <c r="H49" s="25">
        <v>37.200000000000003</v>
      </c>
      <c r="I49" s="25">
        <v>37</v>
      </c>
      <c r="J49" s="25">
        <v>38.6</v>
      </c>
      <c r="K49" s="25">
        <v>40</v>
      </c>
      <c r="L49" s="25">
        <v>40</v>
      </c>
      <c r="M49" s="25">
        <v>40.200000000000003</v>
      </c>
      <c r="N49" s="25">
        <v>39.9</v>
      </c>
      <c r="O49" s="25">
        <v>40</v>
      </c>
      <c r="P49" s="25">
        <v>43.2</v>
      </c>
      <c r="Q49" s="25">
        <v>41.1</v>
      </c>
      <c r="R49" s="25">
        <v>51.1</v>
      </c>
      <c r="S49" s="25">
        <v>66.400000000000006</v>
      </c>
      <c r="T49" s="25">
        <v>57.3</v>
      </c>
      <c r="U49" s="141">
        <v>68.5</v>
      </c>
      <c r="V49" s="141">
        <v>53.6</v>
      </c>
      <c r="W49" s="141">
        <v>36.799999999999997</v>
      </c>
      <c r="X49" s="141">
        <v>39.5</v>
      </c>
      <c r="Y49" s="141">
        <v>27.4</v>
      </c>
      <c r="Z49" s="141">
        <v>33.5</v>
      </c>
      <c r="AA49" s="141">
        <v>34.299999999999997</v>
      </c>
      <c r="AB49" s="141">
        <v>38</v>
      </c>
      <c r="AC49" s="141">
        <v>29.2</v>
      </c>
      <c r="AD49" s="141">
        <v>28.6</v>
      </c>
      <c r="AE49" s="141">
        <v>35</v>
      </c>
      <c r="AF49" s="141">
        <v>27.9</v>
      </c>
      <c r="AG49" s="141">
        <v>28.7</v>
      </c>
      <c r="AH49" s="141">
        <v>29.7</v>
      </c>
      <c r="AI49" s="141">
        <v>25.7</v>
      </c>
      <c r="AJ49" s="141">
        <v>29.3</v>
      </c>
      <c r="AK49" s="141">
        <v>27.3</v>
      </c>
      <c r="AL49" s="141">
        <v>27.6</v>
      </c>
      <c r="AM49" s="141">
        <v>29</v>
      </c>
      <c r="AN49" s="141">
        <v>25.5</v>
      </c>
      <c r="AO49" s="141">
        <v>24.3</v>
      </c>
      <c r="AP49" s="141">
        <v>23.7</v>
      </c>
      <c r="AQ49" s="141">
        <v>23.6</v>
      </c>
      <c r="AR49" s="141">
        <v>20.5</v>
      </c>
      <c r="AS49" s="141">
        <v>21.3</v>
      </c>
      <c r="AT49" s="141">
        <v>23.5</v>
      </c>
    </row>
    <row r="50" spans="1:46" x14ac:dyDescent="0.2">
      <c r="A50" s="12" t="s">
        <v>307</v>
      </c>
      <c r="B50" s="25">
        <v>43.3</v>
      </c>
      <c r="C50" s="25">
        <v>44.5</v>
      </c>
      <c r="D50" s="25">
        <v>43</v>
      </c>
      <c r="E50" s="25">
        <v>41.3</v>
      </c>
      <c r="F50" s="25">
        <v>24.6</v>
      </c>
      <c r="G50" s="25">
        <v>42.7</v>
      </c>
      <c r="H50" s="25">
        <v>46.8</v>
      </c>
      <c r="I50" s="25">
        <v>48.9</v>
      </c>
      <c r="J50" s="25">
        <v>48.9</v>
      </c>
      <c r="K50" s="25">
        <v>51.9</v>
      </c>
      <c r="L50" s="25">
        <v>55.1</v>
      </c>
      <c r="M50" s="25">
        <v>56.3</v>
      </c>
      <c r="N50" s="25">
        <v>55.8</v>
      </c>
      <c r="O50" s="25">
        <v>54.1</v>
      </c>
      <c r="P50" s="25">
        <v>54</v>
      </c>
      <c r="Q50" s="25">
        <v>55.5</v>
      </c>
      <c r="R50" s="25">
        <v>57.5</v>
      </c>
      <c r="S50" s="25">
        <v>58.3</v>
      </c>
      <c r="T50" s="25">
        <v>62.4</v>
      </c>
      <c r="U50" s="141">
        <v>61.7</v>
      </c>
      <c r="V50" s="141">
        <v>55.2</v>
      </c>
      <c r="W50" s="141">
        <v>53.5</v>
      </c>
      <c r="X50" s="141">
        <v>55.9</v>
      </c>
      <c r="Y50" s="141">
        <v>51.5</v>
      </c>
      <c r="Z50" s="141">
        <v>52.1</v>
      </c>
      <c r="AA50" s="141">
        <v>49.9</v>
      </c>
      <c r="AB50" s="141">
        <v>48.5</v>
      </c>
      <c r="AC50" s="141">
        <v>47</v>
      </c>
      <c r="AD50" s="141">
        <v>30.7</v>
      </c>
      <c r="AE50" s="141">
        <v>33.6</v>
      </c>
      <c r="AF50" s="141">
        <v>42.5</v>
      </c>
      <c r="AG50" s="141">
        <v>43</v>
      </c>
      <c r="AH50" s="141">
        <v>45.8</v>
      </c>
      <c r="AI50" s="141">
        <v>42.8</v>
      </c>
      <c r="AJ50" s="141">
        <v>44.4</v>
      </c>
      <c r="AK50" s="141">
        <v>43.7</v>
      </c>
      <c r="AL50" s="141">
        <v>45.3</v>
      </c>
      <c r="AM50" s="141">
        <v>42.7</v>
      </c>
      <c r="AN50" s="141">
        <v>42.4</v>
      </c>
      <c r="AO50" s="141">
        <v>36.6</v>
      </c>
      <c r="AP50" s="141">
        <v>38.1</v>
      </c>
      <c r="AQ50" s="141">
        <v>43.5</v>
      </c>
      <c r="AR50" s="141">
        <v>33.6</v>
      </c>
      <c r="AS50" s="141">
        <v>23.3</v>
      </c>
      <c r="AT50" s="141">
        <v>24.3</v>
      </c>
    </row>
    <row r="51" spans="1:46" x14ac:dyDescent="0.2">
      <c r="A51" s="12" t="s">
        <v>308</v>
      </c>
      <c r="B51" s="25">
        <v>85</v>
      </c>
      <c r="C51" s="25">
        <v>78.400000000000006</v>
      </c>
      <c r="D51" s="25">
        <v>45.4</v>
      </c>
      <c r="E51" s="25">
        <v>65.3</v>
      </c>
      <c r="F51" s="25">
        <v>67.5</v>
      </c>
      <c r="G51" s="25">
        <v>53.2</v>
      </c>
      <c r="H51" s="25">
        <v>59</v>
      </c>
      <c r="I51" s="25">
        <v>60.2</v>
      </c>
      <c r="J51" s="25">
        <v>62.2</v>
      </c>
      <c r="K51" s="25">
        <v>62.2</v>
      </c>
      <c r="L51" s="25">
        <v>71</v>
      </c>
      <c r="M51" s="25">
        <v>78.099999999999994</v>
      </c>
      <c r="N51" s="25">
        <v>77.5</v>
      </c>
      <c r="O51" s="25">
        <v>79.599999999999994</v>
      </c>
      <c r="P51" s="25">
        <v>74.099999999999994</v>
      </c>
      <c r="Q51" s="25">
        <v>72.3</v>
      </c>
      <c r="R51" s="25">
        <v>51.2</v>
      </c>
      <c r="S51" s="25">
        <v>60.3</v>
      </c>
      <c r="T51" s="25">
        <v>47.4</v>
      </c>
      <c r="U51" s="141">
        <v>66.2</v>
      </c>
      <c r="V51" s="141">
        <v>54.8</v>
      </c>
      <c r="W51" s="141">
        <v>41.4</v>
      </c>
      <c r="X51" s="141">
        <v>42</v>
      </c>
      <c r="Y51" s="141">
        <v>42.4</v>
      </c>
      <c r="Z51" s="141">
        <v>47.5</v>
      </c>
      <c r="AA51" s="141">
        <v>45.3</v>
      </c>
      <c r="AB51" s="141">
        <v>57.8</v>
      </c>
      <c r="AC51" s="141">
        <v>44.3</v>
      </c>
      <c r="AD51" s="141">
        <v>37.299999999999997</v>
      </c>
      <c r="AE51" s="141">
        <v>52.6</v>
      </c>
      <c r="AF51" s="141">
        <v>47.5</v>
      </c>
      <c r="AG51" s="141">
        <v>51.6</v>
      </c>
      <c r="AH51" s="141">
        <v>48.9</v>
      </c>
      <c r="AI51" s="141">
        <v>44.2</v>
      </c>
      <c r="AJ51" s="141">
        <v>45.9</v>
      </c>
      <c r="AK51" s="141">
        <v>46.8</v>
      </c>
      <c r="AL51" s="141">
        <v>47.2</v>
      </c>
      <c r="AM51" s="141">
        <v>45.2</v>
      </c>
      <c r="AN51" s="141">
        <v>44.1</v>
      </c>
      <c r="AO51" s="141">
        <v>42.1</v>
      </c>
      <c r="AP51" s="141">
        <v>45.7</v>
      </c>
      <c r="AQ51" s="141">
        <v>43.8</v>
      </c>
      <c r="AR51" s="141">
        <v>39.6</v>
      </c>
      <c r="AS51" s="141">
        <v>46.6</v>
      </c>
      <c r="AT51" s="141">
        <v>46.7</v>
      </c>
    </row>
    <row r="52" spans="1:46" x14ac:dyDescent="0.2">
      <c r="A52" s="12" t="s">
        <v>321</v>
      </c>
      <c r="B52" s="25">
        <v>1.6</v>
      </c>
      <c r="C52" s="25">
        <v>2.1</v>
      </c>
      <c r="D52" s="25">
        <v>0.7</v>
      </c>
      <c r="E52" s="25" t="s">
        <v>152</v>
      </c>
      <c r="F52" s="25" t="s">
        <v>152</v>
      </c>
      <c r="G52" s="25" t="s">
        <v>152</v>
      </c>
      <c r="H52" s="25" t="s">
        <v>152</v>
      </c>
      <c r="I52" s="25" t="s">
        <v>152</v>
      </c>
      <c r="J52" s="25" t="s">
        <v>152</v>
      </c>
      <c r="K52" s="25" t="s">
        <v>152</v>
      </c>
      <c r="L52" s="25" t="s">
        <v>152</v>
      </c>
      <c r="M52" s="25" t="s">
        <v>152</v>
      </c>
      <c r="N52" s="25" t="s">
        <v>152</v>
      </c>
      <c r="O52" s="25" t="s">
        <v>152</v>
      </c>
      <c r="P52" s="25" t="s">
        <v>152</v>
      </c>
      <c r="Q52" s="25" t="s">
        <v>152</v>
      </c>
      <c r="R52" s="25">
        <v>0.9</v>
      </c>
      <c r="S52" s="25">
        <v>1.6</v>
      </c>
      <c r="T52" s="25">
        <v>0</v>
      </c>
      <c r="U52" s="141">
        <v>0</v>
      </c>
      <c r="V52" s="141">
        <v>0</v>
      </c>
      <c r="W52" s="141">
        <v>0</v>
      </c>
      <c r="X52" s="141">
        <v>0</v>
      </c>
      <c r="Y52" s="141">
        <v>0</v>
      </c>
      <c r="Z52" s="141">
        <v>0</v>
      </c>
      <c r="AA52" s="141">
        <v>0</v>
      </c>
      <c r="AB52" s="141">
        <v>0</v>
      </c>
      <c r="AC52" s="141">
        <v>0</v>
      </c>
      <c r="AD52" s="141">
        <v>0</v>
      </c>
      <c r="AE52" s="141">
        <v>0</v>
      </c>
      <c r="AF52" s="141">
        <v>0</v>
      </c>
      <c r="AG52" s="141">
        <v>0</v>
      </c>
      <c r="AH52" s="141">
        <v>0</v>
      </c>
      <c r="AI52" s="141">
        <v>0</v>
      </c>
      <c r="AJ52" s="141">
        <v>0</v>
      </c>
      <c r="AK52" s="141">
        <v>0</v>
      </c>
      <c r="AL52" s="141">
        <v>0</v>
      </c>
      <c r="AM52" s="141">
        <v>0</v>
      </c>
      <c r="AN52" s="141">
        <v>0</v>
      </c>
      <c r="AO52" s="141">
        <v>0</v>
      </c>
      <c r="AP52" s="141">
        <v>0</v>
      </c>
      <c r="AQ52" s="141">
        <v>0</v>
      </c>
      <c r="AR52" s="141">
        <v>0</v>
      </c>
      <c r="AS52" s="141">
        <v>0</v>
      </c>
      <c r="AT52" s="141">
        <v>0</v>
      </c>
    </row>
    <row r="53" spans="1:46" x14ac:dyDescent="0.2">
      <c r="A53" s="12" t="s">
        <v>322</v>
      </c>
      <c r="B53" s="25">
        <v>24.4</v>
      </c>
      <c r="C53" s="25">
        <v>25.2</v>
      </c>
      <c r="D53" s="25">
        <v>29.4</v>
      </c>
      <c r="E53" s="25">
        <v>31.9</v>
      </c>
      <c r="F53" s="25">
        <v>37.799999999999997</v>
      </c>
      <c r="G53" s="25">
        <v>37</v>
      </c>
      <c r="H53" s="25">
        <v>37</v>
      </c>
      <c r="I53" s="25">
        <v>31.5</v>
      </c>
      <c r="J53" s="25">
        <v>33</v>
      </c>
      <c r="K53" s="25">
        <v>35.299999999999997</v>
      </c>
      <c r="L53" s="25">
        <v>41</v>
      </c>
      <c r="M53" s="25">
        <v>30.5</v>
      </c>
      <c r="N53" s="25">
        <v>39.9</v>
      </c>
      <c r="O53" s="25">
        <v>39.200000000000003</v>
      </c>
      <c r="P53" s="25">
        <v>24.5</v>
      </c>
      <c r="Q53" s="25">
        <v>19.3</v>
      </c>
      <c r="R53" s="25">
        <v>12.6</v>
      </c>
      <c r="S53" s="25">
        <v>15</v>
      </c>
      <c r="T53" s="25">
        <v>0</v>
      </c>
      <c r="U53" s="141">
        <v>0</v>
      </c>
      <c r="V53" s="141">
        <v>0</v>
      </c>
      <c r="W53" s="141">
        <v>0</v>
      </c>
      <c r="X53" s="141">
        <v>0</v>
      </c>
      <c r="Y53" s="141">
        <v>0</v>
      </c>
      <c r="Z53" s="141">
        <v>0</v>
      </c>
      <c r="AA53" s="141">
        <v>0</v>
      </c>
      <c r="AB53" s="141">
        <v>0</v>
      </c>
      <c r="AC53" s="141">
        <v>0</v>
      </c>
      <c r="AD53" s="141">
        <v>0</v>
      </c>
      <c r="AE53" s="141">
        <v>0</v>
      </c>
      <c r="AF53" s="141">
        <v>0</v>
      </c>
      <c r="AG53" s="141">
        <v>0</v>
      </c>
      <c r="AH53" s="141">
        <v>0</v>
      </c>
      <c r="AI53" s="141">
        <v>0</v>
      </c>
      <c r="AJ53" s="141">
        <v>0</v>
      </c>
      <c r="AK53" s="141">
        <v>0</v>
      </c>
      <c r="AL53" s="141">
        <v>0</v>
      </c>
      <c r="AM53" s="141">
        <v>0</v>
      </c>
      <c r="AN53" s="141">
        <v>0</v>
      </c>
      <c r="AO53" s="141">
        <v>0</v>
      </c>
      <c r="AP53" s="141">
        <v>0</v>
      </c>
      <c r="AQ53" s="141">
        <v>0</v>
      </c>
      <c r="AR53" s="141">
        <v>0</v>
      </c>
      <c r="AS53" s="141">
        <v>0</v>
      </c>
      <c r="AT53" s="141">
        <v>0</v>
      </c>
    </row>
    <row r="54" spans="1:46" x14ac:dyDescent="0.2">
      <c r="A54" s="12" t="s">
        <v>311</v>
      </c>
      <c r="B54" s="25">
        <v>45.3</v>
      </c>
      <c r="C54" s="25">
        <v>44.9</v>
      </c>
      <c r="D54" s="25">
        <v>38.4</v>
      </c>
      <c r="E54" s="25">
        <v>32.1</v>
      </c>
      <c r="F54" s="25">
        <v>32.700000000000003</v>
      </c>
      <c r="G54" s="25">
        <v>49.4</v>
      </c>
      <c r="H54" s="25">
        <v>50.5</v>
      </c>
      <c r="I54" s="25">
        <v>53.4</v>
      </c>
      <c r="J54" s="25">
        <v>56</v>
      </c>
      <c r="K54" s="25">
        <v>59.3</v>
      </c>
      <c r="L54" s="25">
        <v>63.8</v>
      </c>
      <c r="M54" s="25">
        <v>66.400000000000006</v>
      </c>
      <c r="N54" s="25">
        <v>69.099999999999994</v>
      </c>
      <c r="O54" s="25">
        <v>64.400000000000006</v>
      </c>
      <c r="P54" s="25">
        <v>61.3</v>
      </c>
      <c r="Q54" s="25">
        <v>61.5</v>
      </c>
      <c r="R54" s="25">
        <v>56.8</v>
      </c>
      <c r="S54" s="25">
        <v>60.9</v>
      </c>
      <c r="T54" s="25">
        <v>53.4</v>
      </c>
      <c r="U54" s="141">
        <v>57.1</v>
      </c>
      <c r="V54" s="141">
        <v>56.1</v>
      </c>
      <c r="W54" s="141">
        <v>41.6</v>
      </c>
      <c r="X54" s="141">
        <v>36</v>
      </c>
      <c r="Y54" s="141">
        <v>33.700000000000003</v>
      </c>
      <c r="Z54" s="141">
        <v>35.6</v>
      </c>
      <c r="AA54" s="141">
        <v>35.9</v>
      </c>
      <c r="AB54" s="141">
        <v>40.1</v>
      </c>
      <c r="AC54" s="141">
        <v>30.2</v>
      </c>
      <c r="AD54" s="141">
        <v>27.1</v>
      </c>
      <c r="AE54" s="141">
        <v>25.6</v>
      </c>
      <c r="AF54" s="141">
        <v>30.4</v>
      </c>
      <c r="AG54" s="141">
        <v>30.9</v>
      </c>
      <c r="AH54" s="141">
        <v>31.3</v>
      </c>
      <c r="AI54" s="141">
        <v>29.7</v>
      </c>
      <c r="AJ54" s="141">
        <v>30</v>
      </c>
      <c r="AK54" s="141">
        <v>31.2</v>
      </c>
      <c r="AL54" s="141">
        <v>30</v>
      </c>
      <c r="AM54" s="141">
        <v>31.6</v>
      </c>
      <c r="AN54" s="141">
        <v>30.7</v>
      </c>
      <c r="AO54" s="141">
        <v>24</v>
      </c>
      <c r="AP54" s="141">
        <v>30.6</v>
      </c>
      <c r="AQ54" s="141">
        <v>30.6</v>
      </c>
      <c r="AR54" s="141">
        <v>27.9</v>
      </c>
      <c r="AS54" s="141">
        <v>28.8</v>
      </c>
      <c r="AT54" s="141">
        <v>30.8</v>
      </c>
    </row>
    <row r="55" spans="1:46" x14ac:dyDescent="0.2">
      <c r="A55" s="12" t="s">
        <v>301</v>
      </c>
      <c r="B55" s="25">
        <f>SUM(B49:B54)</f>
        <v>290.60000000000002</v>
      </c>
      <c r="C55" s="25">
        <f t="shared" ref="C55:AP55" si="16">SUM(C49:C54)</f>
        <v>272.09999999999997</v>
      </c>
      <c r="D55" s="25">
        <f t="shared" si="16"/>
        <v>202.9</v>
      </c>
      <c r="E55" s="25">
        <f t="shared" si="16"/>
        <v>207.8</v>
      </c>
      <c r="F55" s="25">
        <f t="shared" si="16"/>
        <v>206.8</v>
      </c>
      <c r="G55" s="25">
        <f t="shared" si="16"/>
        <v>184.8</v>
      </c>
      <c r="H55" s="25">
        <f t="shared" si="16"/>
        <v>230.5</v>
      </c>
      <c r="I55" s="25">
        <f t="shared" si="16"/>
        <v>231.00000000000003</v>
      </c>
      <c r="J55" s="25">
        <f t="shared" si="16"/>
        <v>238.7</v>
      </c>
      <c r="K55" s="25">
        <f t="shared" si="16"/>
        <v>248.70000000000005</v>
      </c>
      <c r="L55" s="25">
        <f t="shared" si="16"/>
        <v>270.89999999999998</v>
      </c>
      <c r="M55" s="25">
        <f t="shared" si="16"/>
        <v>271.5</v>
      </c>
      <c r="N55" s="25">
        <f t="shared" si="16"/>
        <v>282.2</v>
      </c>
      <c r="O55" s="25">
        <f t="shared" si="16"/>
        <v>277.29999999999995</v>
      </c>
      <c r="P55" s="25">
        <f t="shared" si="16"/>
        <v>257.10000000000002</v>
      </c>
      <c r="Q55" s="25">
        <f t="shared" si="16"/>
        <v>249.7</v>
      </c>
      <c r="R55" s="25">
        <f t="shared" si="16"/>
        <v>230.10000000000002</v>
      </c>
      <c r="S55" s="25">
        <f t="shared" si="16"/>
        <v>262.5</v>
      </c>
      <c r="T55" s="25">
        <f t="shared" si="16"/>
        <v>220.5</v>
      </c>
      <c r="U55" s="141">
        <f t="shared" si="16"/>
        <v>253.49999999999997</v>
      </c>
      <c r="V55" s="141">
        <f t="shared" si="16"/>
        <v>219.70000000000002</v>
      </c>
      <c r="W55" s="141">
        <f t="shared" si="16"/>
        <v>173.29999999999998</v>
      </c>
      <c r="X55" s="141">
        <f t="shared" si="16"/>
        <v>173.4</v>
      </c>
      <c r="Y55" s="141">
        <f t="shared" si="16"/>
        <v>155</v>
      </c>
      <c r="Z55" s="141">
        <f t="shared" si="16"/>
        <v>168.7</v>
      </c>
      <c r="AA55" s="141">
        <f t="shared" si="16"/>
        <v>165.4</v>
      </c>
      <c r="AB55" s="141">
        <f t="shared" si="16"/>
        <v>184.4</v>
      </c>
      <c r="AC55" s="141">
        <f t="shared" si="16"/>
        <v>150.69999999999999</v>
      </c>
      <c r="AD55" s="141">
        <f t="shared" si="16"/>
        <v>123.69999999999999</v>
      </c>
      <c r="AE55" s="141">
        <f t="shared" si="16"/>
        <v>146.79999999999998</v>
      </c>
      <c r="AF55" s="141">
        <f t="shared" si="16"/>
        <v>148.30000000000001</v>
      </c>
      <c r="AG55" s="141">
        <f t="shared" si="16"/>
        <v>154.20000000000002</v>
      </c>
      <c r="AH55" s="141">
        <f t="shared" si="16"/>
        <v>155.70000000000002</v>
      </c>
      <c r="AI55" s="141">
        <f t="shared" si="16"/>
        <v>142.4</v>
      </c>
      <c r="AJ55" s="141">
        <f t="shared" si="16"/>
        <v>149.6</v>
      </c>
      <c r="AK55" s="141">
        <f t="shared" si="16"/>
        <v>149</v>
      </c>
      <c r="AL55" s="141">
        <f t="shared" si="16"/>
        <v>150.10000000000002</v>
      </c>
      <c r="AM55" s="141">
        <f t="shared" si="16"/>
        <v>148.5</v>
      </c>
      <c r="AN55" s="141">
        <f t="shared" si="16"/>
        <v>142.69999999999999</v>
      </c>
      <c r="AO55" s="141">
        <f t="shared" si="16"/>
        <v>127</v>
      </c>
      <c r="AP55" s="141">
        <f t="shared" si="16"/>
        <v>138.1</v>
      </c>
      <c r="AQ55" s="141">
        <f t="shared" ref="AQ55:AT55" si="17">SUM(AQ49:AQ54)</f>
        <v>141.5</v>
      </c>
      <c r="AR55" s="141">
        <f t="shared" si="17"/>
        <v>121.6</v>
      </c>
      <c r="AS55" s="141">
        <f t="shared" si="17"/>
        <v>120</v>
      </c>
      <c r="AT55" s="141">
        <f t="shared" si="17"/>
        <v>125.3</v>
      </c>
    </row>
    <row r="56" spans="1:46" x14ac:dyDescent="0.2">
      <c r="A56" s="12"/>
      <c r="B56" s="25"/>
      <c r="C56" s="25"/>
      <c r="D56" s="25"/>
      <c r="E56" s="25"/>
      <c r="F56" s="25"/>
      <c r="G56" s="25"/>
      <c r="H56" s="25"/>
      <c r="I56" s="25"/>
      <c r="J56" s="25"/>
      <c r="K56" s="25"/>
      <c r="L56" s="25"/>
      <c r="M56" s="25"/>
      <c r="N56" s="25"/>
      <c r="O56" s="25"/>
      <c r="P56" s="25"/>
      <c r="Q56" s="25"/>
      <c r="R56" s="25"/>
      <c r="S56" s="25"/>
      <c r="T56" s="25"/>
      <c r="U56" s="141"/>
      <c r="V56" s="141"/>
      <c r="W56" s="141"/>
      <c r="X56" s="141"/>
      <c r="Y56" s="141"/>
      <c r="Z56" s="141"/>
      <c r="AA56" s="141"/>
      <c r="AB56" s="141"/>
      <c r="AC56" s="142"/>
      <c r="AD56" s="142"/>
      <c r="AE56" s="142"/>
      <c r="AF56" s="142"/>
      <c r="AG56" s="142"/>
      <c r="AH56" s="142"/>
      <c r="AI56" s="142"/>
      <c r="AJ56" s="142"/>
      <c r="AK56" s="142"/>
      <c r="AL56" s="142"/>
      <c r="AM56" s="142"/>
      <c r="AN56" s="142"/>
      <c r="AO56" s="142"/>
      <c r="AP56" s="142"/>
      <c r="AQ56" s="142"/>
      <c r="AR56" s="142"/>
      <c r="AS56" s="142"/>
      <c r="AT56" s="142"/>
    </row>
    <row r="57" spans="1:46" x14ac:dyDescent="0.2">
      <c r="A57" s="12" t="s">
        <v>312</v>
      </c>
      <c r="B57" s="25"/>
      <c r="C57" s="25"/>
      <c r="D57" s="25"/>
      <c r="E57" s="25"/>
      <c r="F57" s="25"/>
      <c r="G57" s="25"/>
      <c r="H57" s="25"/>
      <c r="I57" s="25"/>
      <c r="J57" s="25"/>
      <c r="K57" s="25"/>
      <c r="L57" s="25"/>
      <c r="M57" s="25"/>
      <c r="N57" s="25"/>
      <c r="O57" s="25"/>
      <c r="P57" s="25"/>
      <c r="Q57" s="25"/>
      <c r="R57" s="25"/>
      <c r="S57" s="25"/>
      <c r="T57" s="25"/>
      <c r="U57" s="141"/>
      <c r="V57" s="141"/>
      <c r="W57" s="141"/>
      <c r="X57" s="141"/>
      <c r="Y57" s="141"/>
      <c r="Z57" s="141"/>
      <c r="AA57" s="141"/>
      <c r="AB57" s="141"/>
      <c r="AC57" s="142"/>
      <c r="AD57" s="142"/>
      <c r="AE57" s="142"/>
      <c r="AF57" s="142"/>
      <c r="AG57" s="142"/>
      <c r="AH57" s="142"/>
      <c r="AI57" s="142"/>
      <c r="AJ57" s="142"/>
      <c r="AK57" s="142"/>
      <c r="AL57" s="142"/>
      <c r="AM57" s="142"/>
      <c r="AN57" s="142"/>
      <c r="AO57" s="142"/>
      <c r="AP57" s="142"/>
      <c r="AQ57" s="142"/>
      <c r="AR57" s="142"/>
      <c r="AS57" s="142"/>
      <c r="AT57" s="142"/>
    </row>
    <row r="58" spans="1:46" x14ac:dyDescent="0.2">
      <c r="A58" s="12" t="s">
        <v>313</v>
      </c>
      <c r="B58" s="25">
        <v>229</v>
      </c>
      <c r="C58" s="25">
        <v>260</v>
      </c>
      <c r="D58" s="25">
        <v>162</v>
      </c>
      <c r="E58" s="25">
        <v>169</v>
      </c>
      <c r="F58" s="25">
        <v>206</v>
      </c>
      <c r="G58" s="25">
        <v>203</v>
      </c>
      <c r="H58" s="25">
        <v>188</v>
      </c>
      <c r="I58" s="25">
        <v>216</v>
      </c>
      <c r="J58" s="25">
        <v>212</v>
      </c>
      <c r="K58" s="25">
        <v>169</v>
      </c>
      <c r="L58" s="25">
        <v>168</v>
      </c>
      <c r="M58" s="25">
        <v>158</v>
      </c>
      <c r="N58" s="25">
        <v>150</v>
      </c>
      <c r="O58" s="25">
        <v>136</v>
      </c>
      <c r="P58" s="25">
        <v>141</v>
      </c>
      <c r="Q58" s="25">
        <v>114</v>
      </c>
      <c r="R58" s="25">
        <v>82</v>
      </c>
      <c r="S58" s="25">
        <v>99</v>
      </c>
      <c r="T58" s="25">
        <v>99</v>
      </c>
      <c r="U58" s="141">
        <v>108</v>
      </c>
      <c r="V58" s="141">
        <v>92.5</v>
      </c>
      <c r="W58" s="141">
        <v>44.7</v>
      </c>
      <c r="X58" s="141">
        <v>49.5</v>
      </c>
      <c r="Y58" s="141">
        <v>50.1</v>
      </c>
      <c r="Z58" s="141">
        <v>48.9</v>
      </c>
      <c r="AA58" s="141">
        <v>44.1</v>
      </c>
      <c r="AB58" s="141">
        <v>43.1</v>
      </c>
      <c r="AC58" s="141">
        <v>39.1</v>
      </c>
      <c r="AD58" s="141">
        <v>25.3</v>
      </c>
      <c r="AE58" s="141">
        <v>25.2</v>
      </c>
      <c r="AF58" s="141">
        <v>25.5</v>
      </c>
      <c r="AG58" s="141">
        <v>25.2</v>
      </c>
      <c r="AH58" s="141">
        <v>24.4</v>
      </c>
      <c r="AI58" s="141">
        <v>24.3</v>
      </c>
      <c r="AJ58" s="141">
        <v>22.5</v>
      </c>
      <c r="AK58" s="141">
        <v>24.7</v>
      </c>
      <c r="AL58" s="141">
        <v>25.2</v>
      </c>
      <c r="AM58" s="141">
        <v>24.4</v>
      </c>
      <c r="AN58" s="141">
        <v>24.6</v>
      </c>
      <c r="AO58" s="141">
        <v>24.4</v>
      </c>
      <c r="AP58" s="141">
        <v>23.4</v>
      </c>
      <c r="AQ58" s="141">
        <v>23.7</v>
      </c>
      <c r="AR58" s="141">
        <v>18</v>
      </c>
      <c r="AS58" s="141">
        <v>22.7</v>
      </c>
      <c r="AT58" s="141">
        <v>28</v>
      </c>
    </row>
    <row r="59" spans="1:46" x14ac:dyDescent="0.2">
      <c r="A59" s="12" t="s">
        <v>314</v>
      </c>
      <c r="B59" s="25">
        <v>137.9</v>
      </c>
      <c r="C59" s="25">
        <v>144.4</v>
      </c>
      <c r="D59" s="25">
        <v>136</v>
      </c>
      <c r="E59" s="25">
        <v>143</v>
      </c>
      <c r="F59" s="25">
        <v>144</v>
      </c>
      <c r="G59" s="25">
        <v>152</v>
      </c>
      <c r="H59" s="25">
        <v>160</v>
      </c>
      <c r="I59" s="25">
        <v>162</v>
      </c>
      <c r="J59" s="25">
        <v>166</v>
      </c>
      <c r="K59" s="25">
        <v>177</v>
      </c>
      <c r="L59" s="25">
        <v>186</v>
      </c>
      <c r="M59" s="25">
        <v>195</v>
      </c>
      <c r="N59" s="25">
        <v>200</v>
      </c>
      <c r="O59" s="25">
        <v>204</v>
      </c>
      <c r="P59" s="25">
        <v>201</v>
      </c>
      <c r="Q59" s="25">
        <v>197</v>
      </c>
      <c r="R59" s="25">
        <v>184</v>
      </c>
      <c r="S59" s="25">
        <v>197</v>
      </c>
      <c r="T59" s="25">
        <v>203</v>
      </c>
      <c r="U59" s="141">
        <v>210</v>
      </c>
      <c r="V59" s="141">
        <v>191</v>
      </c>
      <c r="W59" s="141">
        <v>179</v>
      </c>
      <c r="X59" s="141">
        <v>210</v>
      </c>
      <c r="Y59" s="141">
        <v>207</v>
      </c>
      <c r="Z59" s="141">
        <v>192</v>
      </c>
      <c r="AA59" s="141">
        <v>167</v>
      </c>
      <c r="AB59" s="141">
        <v>187</v>
      </c>
      <c r="AC59" s="141">
        <v>167</v>
      </c>
      <c r="AD59" s="141">
        <v>116</v>
      </c>
      <c r="AE59" s="141">
        <v>163</v>
      </c>
      <c r="AF59" s="141">
        <v>170</v>
      </c>
      <c r="AG59" s="141">
        <v>176</v>
      </c>
      <c r="AH59" s="141">
        <v>182</v>
      </c>
      <c r="AI59" s="141">
        <v>174</v>
      </c>
      <c r="AJ59" s="141">
        <v>169</v>
      </c>
      <c r="AK59" s="141">
        <v>172</v>
      </c>
      <c r="AL59" s="141">
        <v>170</v>
      </c>
      <c r="AM59" s="141">
        <v>166</v>
      </c>
      <c r="AN59" s="141">
        <v>159</v>
      </c>
      <c r="AO59" s="141">
        <v>166</v>
      </c>
      <c r="AP59" s="141">
        <v>168</v>
      </c>
      <c r="AQ59" s="141">
        <v>171</v>
      </c>
      <c r="AR59" s="141">
        <v>170</v>
      </c>
      <c r="AS59" s="141">
        <v>174.6</v>
      </c>
      <c r="AT59" s="141">
        <v>173.1</v>
      </c>
    </row>
    <row r="60" spans="1:46" x14ac:dyDescent="0.2">
      <c r="A60" s="12" t="s">
        <v>315</v>
      </c>
      <c r="B60" s="25">
        <v>7.2</v>
      </c>
      <c r="C60" s="25">
        <v>10.7</v>
      </c>
      <c r="D60" s="25">
        <v>10.3</v>
      </c>
      <c r="E60" s="25">
        <v>11.3</v>
      </c>
      <c r="F60" s="25">
        <v>11.6</v>
      </c>
      <c r="G60" s="25">
        <v>11.8</v>
      </c>
      <c r="H60" s="25">
        <v>12.9</v>
      </c>
      <c r="I60" s="25">
        <v>13.7</v>
      </c>
      <c r="J60" s="25">
        <v>14.1</v>
      </c>
      <c r="K60" s="25">
        <v>15.2</v>
      </c>
      <c r="L60" s="25">
        <v>16.7</v>
      </c>
      <c r="M60" s="25">
        <v>18.600000000000001</v>
      </c>
      <c r="N60" s="25">
        <v>17.3</v>
      </c>
      <c r="O60" s="25">
        <v>15.2</v>
      </c>
      <c r="P60" s="25">
        <v>16.399999999999999</v>
      </c>
      <c r="Q60" s="25">
        <v>17.8</v>
      </c>
      <c r="R60" s="25">
        <v>16.3</v>
      </c>
      <c r="S60" s="25">
        <v>17.399999999999999</v>
      </c>
      <c r="T60" s="25">
        <v>17.7</v>
      </c>
      <c r="U60" s="141">
        <v>19.7</v>
      </c>
      <c r="V60" s="141">
        <v>13.7</v>
      </c>
      <c r="W60" s="141">
        <v>9.6999999999999993</v>
      </c>
      <c r="X60" s="141">
        <v>11</v>
      </c>
      <c r="Y60" s="141">
        <v>9.8000000000000007</v>
      </c>
      <c r="Z60" s="141">
        <v>12.6</v>
      </c>
      <c r="AA60" s="141">
        <v>9.6999999999999993</v>
      </c>
      <c r="AB60" s="141">
        <v>13.1</v>
      </c>
      <c r="AC60" s="141">
        <v>11</v>
      </c>
      <c r="AD60" s="141">
        <v>5.9</v>
      </c>
      <c r="AE60" s="141">
        <v>10.5</v>
      </c>
      <c r="AF60" s="141">
        <v>10.3</v>
      </c>
      <c r="AG60" s="141">
        <v>10.8</v>
      </c>
      <c r="AH60" s="141">
        <v>11</v>
      </c>
      <c r="AI60" s="141">
        <v>9.3000000000000007</v>
      </c>
      <c r="AJ60" s="141">
        <v>7.2</v>
      </c>
      <c r="AK60" s="141">
        <v>7.7</v>
      </c>
      <c r="AL60" s="141">
        <v>10.199999999999999</v>
      </c>
      <c r="AM60" s="141">
        <v>9.1</v>
      </c>
      <c r="AN60" s="141">
        <v>9.3000000000000007</v>
      </c>
      <c r="AO60" s="141">
        <v>9.8000000000000007</v>
      </c>
      <c r="AP60" s="141">
        <v>9.4</v>
      </c>
      <c r="AQ60" s="141">
        <v>10.4</v>
      </c>
      <c r="AR60" s="141">
        <v>7.9</v>
      </c>
      <c r="AS60" s="141">
        <v>10.4</v>
      </c>
      <c r="AT60" s="141">
        <v>10.4</v>
      </c>
    </row>
    <row r="61" spans="1:46" x14ac:dyDescent="0.2">
      <c r="A61" s="12" t="s">
        <v>323</v>
      </c>
      <c r="B61" s="25" t="s">
        <v>152</v>
      </c>
      <c r="C61" s="25" t="s">
        <v>152</v>
      </c>
      <c r="D61" s="25" t="s">
        <v>152</v>
      </c>
      <c r="E61" s="25" t="s">
        <v>152</v>
      </c>
      <c r="F61" s="25" t="s">
        <v>152</v>
      </c>
      <c r="G61" s="25" t="s">
        <v>152</v>
      </c>
      <c r="H61" s="25" t="s">
        <v>152</v>
      </c>
      <c r="I61" s="25" t="s">
        <v>152</v>
      </c>
      <c r="J61" s="25" t="s">
        <v>152</v>
      </c>
      <c r="K61" s="25" t="s">
        <v>152</v>
      </c>
      <c r="L61" s="25" t="s">
        <v>152</v>
      </c>
      <c r="M61" s="25" t="s">
        <v>152</v>
      </c>
      <c r="N61" s="25" t="s">
        <v>152</v>
      </c>
      <c r="O61" s="25" t="s">
        <v>152</v>
      </c>
      <c r="P61" s="25" t="s">
        <v>152</v>
      </c>
      <c r="Q61" s="25" t="s">
        <v>152</v>
      </c>
      <c r="R61" s="25">
        <v>13</v>
      </c>
      <c r="S61" s="25">
        <v>18</v>
      </c>
      <c r="T61" s="25">
        <v>35.799999999999997</v>
      </c>
      <c r="U61" s="141">
        <v>27.4</v>
      </c>
      <c r="V61" s="141">
        <v>27.3</v>
      </c>
      <c r="W61" s="141">
        <v>7.1</v>
      </c>
      <c r="X61" s="141">
        <v>4</v>
      </c>
      <c r="Y61" s="141">
        <v>4</v>
      </c>
      <c r="Z61" s="141">
        <v>3.8</v>
      </c>
      <c r="AA61" s="141">
        <v>1.7</v>
      </c>
      <c r="AB61" s="141">
        <v>2</v>
      </c>
      <c r="AC61" s="141">
        <v>2</v>
      </c>
      <c r="AD61" s="141">
        <v>1.6</v>
      </c>
      <c r="AE61" s="141">
        <v>0</v>
      </c>
      <c r="AF61" s="141">
        <v>0</v>
      </c>
      <c r="AG61" s="141">
        <v>0</v>
      </c>
      <c r="AH61" s="141">
        <v>0</v>
      </c>
      <c r="AI61" s="141">
        <v>0</v>
      </c>
      <c r="AJ61" s="141">
        <v>0</v>
      </c>
      <c r="AK61" s="141">
        <v>0</v>
      </c>
      <c r="AL61" s="141">
        <v>1.9</v>
      </c>
      <c r="AM61" s="141">
        <v>1.8</v>
      </c>
      <c r="AN61" s="141">
        <v>1.8</v>
      </c>
      <c r="AO61" s="141">
        <v>2.4</v>
      </c>
      <c r="AP61" s="141">
        <v>1.9</v>
      </c>
      <c r="AQ61" s="141">
        <v>1.9</v>
      </c>
      <c r="AR61" s="141">
        <v>2</v>
      </c>
      <c r="AS61" s="141">
        <v>2</v>
      </c>
      <c r="AT61" s="141">
        <v>1.9</v>
      </c>
    </row>
    <row r="62" spans="1:46" x14ac:dyDescent="0.2">
      <c r="A62" s="12" t="s">
        <v>301</v>
      </c>
      <c r="B62" s="25">
        <f>SUM(B58:B60)</f>
        <v>374.09999999999997</v>
      </c>
      <c r="C62" s="25">
        <f t="shared" ref="C62:K62" si="18">SUM(C58:C60)</f>
        <v>415.09999999999997</v>
      </c>
      <c r="D62" s="25">
        <f t="shared" si="18"/>
        <v>308.3</v>
      </c>
      <c r="E62" s="25">
        <f t="shared" si="18"/>
        <v>323.3</v>
      </c>
      <c r="F62" s="25">
        <f t="shared" si="18"/>
        <v>361.6</v>
      </c>
      <c r="G62" s="25">
        <f t="shared" si="18"/>
        <v>366.8</v>
      </c>
      <c r="H62" s="25">
        <f t="shared" si="18"/>
        <v>360.9</v>
      </c>
      <c r="I62" s="25">
        <f t="shared" si="18"/>
        <v>391.7</v>
      </c>
      <c r="J62" s="25">
        <f t="shared" si="18"/>
        <v>392.1</v>
      </c>
      <c r="K62" s="25">
        <f t="shared" si="18"/>
        <v>361.2</v>
      </c>
      <c r="L62" s="25">
        <f t="shared" ref="L62:AO62" si="19">SUM(L58:L61)</f>
        <v>370.7</v>
      </c>
      <c r="M62" s="25">
        <f t="shared" si="19"/>
        <v>371.6</v>
      </c>
      <c r="N62" s="25">
        <f t="shared" si="19"/>
        <v>367.3</v>
      </c>
      <c r="O62" s="25">
        <f t="shared" si="19"/>
        <v>355.2</v>
      </c>
      <c r="P62" s="25">
        <f t="shared" si="19"/>
        <v>358.4</v>
      </c>
      <c r="Q62" s="25">
        <f t="shared" si="19"/>
        <v>328.8</v>
      </c>
      <c r="R62" s="25">
        <f t="shared" si="19"/>
        <v>295.3</v>
      </c>
      <c r="S62" s="25">
        <f t="shared" si="19"/>
        <v>331.4</v>
      </c>
      <c r="T62" s="25">
        <f t="shared" si="19"/>
        <v>355.5</v>
      </c>
      <c r="U62" s="25">
        <f t="shared" si="19"/>
        <v>365.09999999999997</v>
      </c>
      <c r="V62" s="25">
        <f t="shared" si="19"/>
        <v>324.5</v>
      </c>
      <c r="W62" s="25">
        <f t="shared" si="19"/>
        <v>240.49999999999997</v>
      </c>
      <c r="X62" s="25">
        <f t="shared" si="19"/>
        <v>274.5</v>
      </c>
      <c r="Y62" s="25">
        <f t="shared" si="19"/>
        <v>270.90000000000003</v>
      </c>
      <c r="Z62" s="25">
        <f t="shared" si="19"/>
        <v>257.3</v>
      </c>
      <c r="AA62" s="25">
        <f t="shared" si="19"/>
        <v>222.49999999999997</v>
      </c>
      <c r="AB62" s="25">
        <f t="shared" si="19"/>
        <v>245.2</v>
      </c>
      <c r="AC62" s="25">
        <f t="shared" si="19"/>
        <v>219.1</v>
      </c>
      <c r="AD62" s="25">
        <f t="shared" si="19"/>
        <v>148.80000000000001</v>
      </c>
      <c r="AE62" s="25">
        <f t="shared" si="19"/>
        <v>198.7</v>
      </c>
      <c r="AF62" s="25">
        <f t="shared" si="19"/>
        <v>205.8</v>
      </c>
      <c r="AG62" s="25">
        <f t="shared" si="19"/>
        <v>212</v>
      </c>
      <c r="AH62" s="25">
        <f t="shared" si="19"/>
        <v>217.4</v>
      </c>
      <c r="AI62" s="25">
        <f t="shared" si="19"/>
        <v>207.60000000000002</v>
      </c>
      <c r="AJ62" s="25">
        <f t="shared" si="19"/>
        <v>198.7</v>
      </c>
      <c r="AK62" s="25">
        <f t="shared" si="19"/>
        <v>204.39999999999998</v>
      </c>
      <c r="AL62" s="25">
        <f t="shared" si="19"/>
        <v>207.29999999999998</v>
      </c>
      <c r="AM62" s="25">
        <f t="shared" si="19"/>
        <v>201.3</v>
      </c>
      <c r="AN62" s="141">
        <f t="shared" si="19"/>
        <v>194.70000000000002</v>
      </c>
      <c r="AO62" s="141">
        <f t="shared" si="19"/>
        <v>202.60000000000002</v>
      </c>
      <c r="AP62" s="25">
        <f>SUM(AP58:AP61)</f>
        <v>202.70000000000002</v>
      </c>
      <c r="AQ62" s="25">
        <f t="shared" ref="AQ62:AT62" si="20">SUM(AQ58:AQ61)</f>
        <v>207</v>
      </c>
      <c r="AR62" s="25">
        <f t="shared" si="20"/>
        <v>197.9</v>
      </c>
      <c r="AS62" s="25">
        <f t="shared" si="20"/>
        <v>209.7</v>
      </c>
      <c r="AT62" s="141">
        <f t="shared" si="20"/>
        <v>213.4</v>
      </c>
    </row>
    <row r="63" spans="1:46" x14ac:dyDescent="0.2">
      <c r="A63" s="12"/>
      <c r="B63" s="25"/>
      <c r="C63" s="25"/>
      <c r="D63" s="25"/>
      <c r="E63" s="25"/>
      <c r="F63" s="25"/>
      <c r="G63" s="25"/>
      <c r="H63" s="25"/>
      <c r="I63" s="25"/>
      <c r="J63" s="25"/>
      <c r="K63" s="25"/>
      <c r="L63" s="25"/>
      <c r="M63" s="25"/>
      <c r="N63" s="25"/>
      <c r="O63" s="25"/>
      <c r="P63" s="25"/>
      <c r="Q63" s="25"/>
      <c r="R63" s="25"/>
      <c r="S63" s="25"/>
      <c r="T63" s="25"/>
      <c r="U63" s="141"/>
      <c r="V63" s="141"/>
      <c r="W63" s="141"/>
      <c r="X63" s="141"/>
      <c r="Y63" s="141"/>
      <c r="Z63" s="141"/>
      <c r="AA63" s="141"/>
      <c r="AB63" s="141"/>
      <c r="AC63" s="142"/>
      <c r="AD63" s="142"/>
      <c r="AE63" s="142"/>
      <c r="AF63" s="142"/>
      <c r="AG63" s="142"/>
      <c r="AH63" s="142"/>
      <c r="AI63" s="142"/>
      <c r="AJ63" s="142"/>
      <c r="AK63" s="142"/>
      <c r="AL63" s="142"/>
      <c r="AM63" s="142"/>
      <c r="AN63" s="142"/>
      <c r="AO63" s="142"/>
      <c r="AP63" s="142"/>
      <c r="AQ63" s="142"/>
      <c r="AR63" s="142"/>
      <c r="AS63" s="142"/>
      <c r="AT63" s="142"/>
    </row>
    <row r="64" spans="1:46" x14ac:dyDescent="0.2">
      <c r="A64" s="12" t="s">
        <v>317</v>
      </c>
      <c r="B64" s="25">
        <f>B66-B41-B46-B55-B62</f>
        <v>24.300000000000011</v>
      </c>
      <c r="C64" s="25">
        <f>C66-C41-C46-C55-C62</f>
        <v>26.599999999999909</v>
      </c>
      <c r="D64" s="25">
        <f>D66-D41-D46-D55-D62</f>
        <v>22.300000000000011</v>
      </c>
      <c r="E64" s="25">
        <f>E66-E41-E46-E55-E62</f>
        <v>6.8999999999999773</v>
      </c>
      <c r="F64" s="25">
        <f>F66-F41-F46-F55-F62</f>
        <v>7.0999999999998522</v>
      </c>
      <c r="G64" s="25" t="s">
        <v>152</v>
      </c>
      <c r="H64" s="25" t="s">
        <v>152</v>
      </c>
      <c r="I64" s="25">
        <v>0.2</v>
      </c>
      <c r="J64" s="25">
        <v>0.7</v>
      </c>
      <c r="K64" s="25">
        <v>1.6</v>
      </c>
      <c r="L64" s="25">
        <v>2.2000000000000002</v>
      </c>
      <c r="M64" s="25">
        <v>2.2000000000000002</v>
      </c>
      <c r="N64" s="25">
        <v>1.8</v>
      </c>
      <c r="O64" s="25">
        <v>2.5</v>
      </c>
      <c r="P64" s="25">
        <v>12</v>
      </c>
      <c r="Q64" s="25">
        <v>14.1</v>
      </c>
      <c r="R64" s="25">
        <v>0</v>
      </c>
      <c r="S64" s="25">
        <v>0</v>
      </c>
      <c r="T64" s="25">
        <v>0</v>
      </c>
      <c r="U64" s="25">
        <v>0</v>
      </c>
      <c r="V64" s="25">
        <v>0</v>
      </c>
      <c r="W64" s="25">
        <v>0</v>
      </c>
      <c r="X64" s="25">
        <v>0</v>
      </c>
      <c r="Y64" s="141">
        <v>0</v>
      </c>
      <c r="Z64" s="141">
        <v>0</v>
      </c>
      <c r="AA64" s="141">
        <v>0</v>
      </c>
      <c r="AB64" s="141">
        <v>0</v>
      </c>
      <c r="AC64" s="141">
        <v>0</v>
      </c>
      <c r="AD64" s="141">
        <v>0</v>
      </c>
      <c r="AE64" s="141">
        <v>0</v>
      </c>
      <c r="AF64" s="141">
        <v>0</v>
      </c>
      <c r="AG64" s="141">
        <v>0</v>
      </c>
      <c r="AH64" s="141">
        <v>0</v>
      </c>
      <c r="AI64" s="141">
        <v>0</v>
      </c>
      <c r="AJ64" s="141">
        <v>0</v>
      </c>
      <c r="AK64" s="141">
        <v>0</v>
      </c>
      <c r="AL64" s="141">
        <v>0</v>
      </c>
      <c r="AM64" s="141">
        <v>0</v>
      </c>
      <c r="AN64" s="141">
        <v>0</v>
      </c>
      <c r="AO64" s="141">
        <v>0</v>
      </c>
      <c r="AP64" s="141">
        <v>0</v>
      </c>
      <c r="AQ64" s="141">
        <v>0</v>
      </c>
      <c r="AR64" s="141">
        <v>0</v>
      </c>
      <c r="AS64" s="141">
        <v>0</v>
      </c>
      <c r="AT64" s="141">
        <v>0</v>
      </c>
    </row>
    <row r="65" spans="1:46" x14ac:dyDescent="0.2">
      <c r="A65" s="12"/>
      <c r="B65" s="25"/>
      <c r="C65" s="25"/>
      <c r="D65" s="25"/>
      <c r="E65" s="25"/>
      <c r="F65" s="25"/>
      <c r="G65" s="25"/>
      <c r="H65" s="25"/>
      <c r="I65" s="25"/>
      <c r="J65" s="25"/>
      <c r="K65" s="25"/>
      <c r="L65" s="25"/>
      <c r="M65" s="25"/>
      <c r="N65" s="25"/>
      <c r="O65" s="25"/>
      <c r="P65" s="25"/>
      <c r="Q65" s="25"/>
      <c r="R65" s="25"/>
      <c r="S65" s="25"/>
      <c r="T65" s="25"/>
      <c r="U65" s="141"/>
      <c r="V65" s="141"/>
      <c r="W65" s="141"/>
      <c r="X65" s="141"/>
      <c r="Y65" s="141"/>
      <c r="Z65" s="141"/>
      <c r="AA65" s="141"/>
      <c r="AB65" s="141"/>
      <c r="AC65" s="142"/>
      <c r="AD65" s="142"/>
      <c r="AE65" s="142"/>
      <c r="AF65" s="142"/>
      <c r="AG65" s="142"/>
      <c r="AH65" s="142"/>
      <c r="AI65" s="142"/>
      <c r="AJ65" s="142"/>
      <c r="AK65" s="142"/>
      <c r="AL65" s="142"/>
      <c r="AM65" s="142"/>
      <c r="AN65" s="142"/>
      <c r="AO65" s="142"/>
      <c r="AP65" s="142"/>
      <c r="AQ65" s="142"/>
      <c r="AR65" s="142"/>
      <c r="AS65" s="142"/>
      <c r="AT65" s="142"/>
    </row>
    <row r="66" spans="1:46" x14ac:dyDescent="0.2">
      <c r="A66" s="152" t="s">
        <v>318</v>
      </c>
      <c r="B66" s="140">
        <v>1189.5</v>
      </c>
      <c r="C66" s="140">
        <v>1228.0999999999999</v>
      </c>
      <c r="D66" s="140">
        <v>1026.8</v>
      </c>
      <c r="E66" s="140">
        <v>1055.8</v>
      </c>
      <c r="F66" s="140">
        <v>1096.3</v>
      </c>
      <c r="G66" s="140">
        <v>1102.5</v>
      </c>
      <c r="H66" s="140">
        <v>1191.2</v>
      </c>
      <c r="I66" s="143">
        <v>1252.4000000000001</v>
      </c>
      <c r="J66" s="143">
        <v>1300.7</v>
      </c>
      <c r="K66" s="143">
        <v>1294.5</v>
      </c>
      <c r="L66" s="143">
        <v>1377.2</v>
      </c>
      <c r="M66" s="143">
        <v>1386.7</v>
      </c>
      <c r="N66" s="143">
        <v>1411.5</v>
      </c>
      <c r="O66" s="143">
        <v>1409.4</v>
      </c>
      <c r="P66" s="143">
        <v>1443</v>
      </c>
      <c r="Q66" s="143">
        <v>1420.1</v>
      </c>
      <c r="R66" s="143">
        <v>1323.3</v>
      </c>
      <c r="S66" s="143">
        <v>1428.3</v>
      </c>
      <c r="T66" s="143">
        <v>1450.7</v>
      </c>
      <c r="U66" s="143">
        <v>1527.3</v>
      </c>
      <c r="V66" s="143">
        <v>1373</v>
      </c>
      <c r="W66" s="143">
        <v>1241.0999999999999</v>
      </c>
      <c r="X66" s="143">
        <v>1360.7</v>
      </c>
      <c r="Y66" s="143">
        <v>1347.8</v>
      </c>
      <c r="Z66" s="143">
        <v>1306.7</v>
      </c>
      <c r="AA66" s="143">
        <v>1242.9000000000001</v>
      </c>
      <c r="AB66" s="140">
        <f t="shared" ref="AB66:AO66" si="21">+AB41+AB46+AB55+AB62+AB64</f>
        <v>1303.6000000000001</v>
      </c>
      <c r="AC66" s="140">
        <f t="shared" si="21"/>
        <v>1246.8</v>
      </c>
      <c r="AD66" s="140">
        <f t="shared" si="21"/>
        <v>1004.5</v>
      </c>
      <c r="AE66" s="140">
        <f t="shared" si="21"/>
        <v>1148.5</v>
      </c>
      <c r="AF66" s="140">
        <f t="shared" si="21"/>
        <v>1156.0999999999999</v>
      </c>
      <c r="AG66" s="140">
        <f t="shared" si="21"/>
        <v>1213.2</v>
      </c>
      <c r="AH66" s="140">
        <f t="shared" si="21"/>
        <v>1204.1000000000001</v>
      </c>
      <c r="AI66" s="140">
        <f t="shared" si="21"/>
        <v>1154</v>
      </c>
      <c r="AJ66" s="140">
        <f t="shared" si="21"/>
        <v>1146.3</v>
      </c>
      <c r="AK66" s="140">
        <f t="shared" si="21"/>
        <v>1145.4000000000001</v>
      </c>
      <c r="AL66" s="140">
        <f t="shared" si="21"/>
        <v>1126.4000000000001</v>
      </c>
      <c r="AM66" s="140">
        <f t="shared" si="21"/>
        <v>1113.8</v>
      </c>
      <c r="AN66" s="186">
        <f t="shared" si="21"/>
        <v>1093.4000000000001</v>
      </c>
      <c r="AO66" s="186">
        <f t="shared" si="21"/>
        <v>981.6</v>
      </c>
      <c r="AP66" s="140">
        <f>+AP41+AP46+AP55+AP62+AP64</f>
        <v>1141.8</v>
      </c>
      <c r="AQ66" s="140">
        <f t="shared" ref="AQ66" si="22">+AQ41+AQ46+AQ55+AQ62+AQ64</f>
        <v>1108.5</v>
      </c>
      <c r="AR66" s="140">
        <f>+AR41+AR46+AR55+AR62+AR64</f>
        <v>1137.5</v>
      </c>
      <c r="AS66" s="140">
        <f>+AS41+AS46+AS55+AS62+AS64</f>
        <v>1114.2</v>
      </c>
      <c r="AT66" s="186">
        <f>+AT41+AT46+AT55+AT62+AT64</f>
        <v>1085.5</v>
      </c>
    </row>
    <row r="67" spans="1:46" x14ac:dyDescent="0.2">
      <c r="A67" s="12"/>
      <c r="B67" s="12"/>
      <c r="C67" s="12"/>
      <c r="D67" s="12"/>
      <c r="E67" s="12"/>
      <c r="F67" s="12"/>
      <c r="G67" s="12"/>
      <c r="H67" s="12"/>
      <c r="I67" s="12"/>
      <c r="J67" s="12"/>
      <c r="K67" s="12"/>
      <c r="L67" s="23"/>
      <c r="M67" s="23"/>
      <c r="N67" s="23"/>
      <c r="O67" s="23"/>
      <c r="P67" s="23"/>
      <c r="Q67" s="23"/>
      <c r="V67" s="32"/>
      <c r="W67" s="32"/>
      <c r="X67" s="32"/>
      <c r="Y67" s="32"/>
      <c r="Z67" s="32"/>
      <c r="AA67" s="32"/>
      <c r="AB67" s="32"/>
    </row>
    <row r="68" spans="1:46" x14ac:dyDescent="0.2">
      <c r="A68" s="76"/>
      <c r="B68" s="76"/>
      <c r="C68" s="76"/>
      <c r="D68" s="76"/>
      <c r="E68" s="76"/>
      <c r="F68" s="76"/>
      <c r="G68" s="76"/>
      <c r="H68" s="12"/>
      <c r="I68" s="12"/>
      <c r="J68" s="12"/>
      <c r="K68" s="12"/>
      <c r="L68" s="12"/>
      <c r="M68" s="12"/>
      <c r="N68" s="12"/>
      <c r="O68" s="12"/>
      <c r="P68" s="12"/>
      <c r="Q68" s="12"/>
      <c r="R68" s="12"/>
      <c r="S68" s="12"/>
      <c r="T68" s="12"/>
      <c r="AC68" s="21"/>
      <c r="AD68" s="21"/>
      <c r="AE68" s="21"/>
      <c r="AF68" s="21"/>
      <c r="AG68" s="21"/>
      <c r="AH68" s="21"/>
      <c r="AI68" s="21"/>
      <c r="AJ68" s="21"/>
    </row>
    <row r="69" spans="1:46" x14ac:dyDescent="0.2">
      <c r="A69" s="12"/>
      <c r="B69" s="8"/>
      <c r="C69" s="8"/>
      <c r="D69" s="8"/>
      <c r="E69" s="8"/>
      <c r="F69" s="8"/>
      <c r="G69" s="8"/>
      <c r="H69" s="8"/>
      <c r="I69" s="199"/>
      <c r="J69" s="199"/>
      <c r="K69" s="199"/>
      <c r="L69" s="199"/>
      <c r="M69" s="200"/>
      <c r="N69" s="199"/>
      <c r="O69" s="201"/>
      <c r="P69" s="201"/>
      <c r="Q69" s="192"/>
      <c r="R69" s="199"/>
      <c r="S69" s="199"/>
      <c r="T69" s="199"/>
      <c r="U69" s="202"/>
      <c r="V69" s="203"/>
      <c r="W69" s="203"/>
      <c r="X69" s="203"/>
      <c r="Y69" s="203"/>
      <c r="Z69" s="203"/>
      <c r="AA69" s="203"/>
      <c r="AB69" s="203"/>
      <c r="AC69" s="203"/>
      <c r="AD69" s="203"/>
      <c r="AE69" s="203"/>
      <c r="AF69" s="203"/>
      <c r="AG69" s="203"/>
      <c r="AH69" s="203"/>
      <c r="AI69" s="203"/>
      <c r="AJ69" s="203"/>
      <c r="AK69" s="201"/>
    </row>
    <row r="70" spans="1:46" ht="22.5" x14ac:dyDescent="0.2">
      <c r="A70" s="198" t="s">
        <v>297</v>
      </c>
      <c r="B70" s="15" t="s">
        <v>199</v>
      </c>
      <c r="C70" s="15" t="s">
        <v>200</v>
      </c>
      <c r="D70" s="15" t="s">
        <v>201</v>
      </c>
      <c r="E70" s="15" t="s">
        <v>202</v>
      </c>
      <c r="F70" s="15" t="s">
        <v>203</v>
      </c>
      <c r="G70" s="15" t="s">
        <v>204</v>
      </c>
      <c r="H70" s="15" t="s">
        <v>205</v>
      </c>
      <c r="I70" s="16" t="s">
        <v>206</v>
      </c>
      <c r="J70" s="16" t="s">
        <v>207</v>
      </c>
      <c r="K70" s="16" t="s">
        <v>208</v>
      </c>
      <c r="L70" s="16" t="s">
        <v>209</v>
      </c>
      <c r="M70" s="28" t="s">
        <v>210</v>
      </c>
      <c r="N70" s="28" t="s">
        <v>211</v>
      </c>
      <c r="O70" s="28" t="s">
        <v>212</v>
      </c>
      <c r="P70" s="28" t="s">
        <v>213</v>
      </c>
      <c r="Q70" s="28" t="s">
        <v>214</v>
      </c>
      <c r="R70" s="28" t="s">
        <v>215</v>
      </c>
      <c r="S70" s="28" t="s">
        <v>216</v>
      </c>
      <c r="T70" s="28" t="s">
        <v>217</v>
      </c>
      <c r="U70" s="29" t="s">
        <v>291</v>
      </c>
      <c r="V70" s="29" t="s">
        <v>292</v>
      </c>
      <c r="W70" s="29" t="s">
        <v>293</v>
      </c>
      <c r="X70" s="29" t="s">
        <v>294</v>
      </c>
      <c r="Y70" s="29" t="s">
        <v>222</v>
      </c>
      <c r="Z70" s="29" t="s">
        <v>223</v>
      </c>
      <c r="AA70" s="29" t="s">
        <v>224</v>
      </c>
      <c r="AB70" s="29" t="s">
        <v>225</v>
      </c>
      <c r="AC70" s="29" t="s">
        <v>226</v>
      </c>
      <c r="AD70" s="29" t="s">
        <v>227</v>
      </c>
      <c r="AE70" s="29" t="s">
        <v>228</v>
      </c>
      <c r="AF70" s="29" t="s">
        <v>229</v>
      </c>
      <c r="AG70" s="29" t="s">
        <v>230</v>
      </c>
      <c r="AH70" s="29" t="s">
        <v>231</v>
      </c>
      <c r="AI70" s="29" t="s">
        <v>232</v>
      </c>
      <c r="AJ70" s="29" t="s">
        <v>233</v>
      </c>
      <c r="AK70" s="29" t="s">
        <v>234</v>
      </c>
      <c r="AL70" s="30" t="s">
        <v>235</v>
      </c>
      <c r="AM70" s="30" t="s">
        <v>236</v>
      </c>
      <c r="AN70" s="30" t="s">
        <v>237</v>
      </c>
      <c r="AO70" s="30" t="s">
        <v>238</v>
      </c>
      <c r="AP70" s="30" t="s">
        <v>239</v>
      </c>
      <c r="AQ70" s="17" t="s">
        <v>348</v>
      </c>
      <c r="AR70" s="17" t="s">
        <v>379</v>
      </c>
      <c r="AS70" s="169" t="s">
        <v>378</v>
      </c>
      <c r="AT70" s="169" t="s">
        <v>377</v>
      </c>
    </row>
    <row r="71" spans="1:46" x14ac:dyDescent="0.2">
      <c r="A71" s="12" t="s">
        <v>412</v>
      </c>
      <c r="B71" s="12"/>
      <c r="C71" s="12"/>
      <c r="D71" s="12"/>
      <c r="E71" s="12"/>
      <c r="F71" s="12"/>
      <c r="G71" s="12"/>
      <c r="H71" s="31"/>
      <c r="K71" s="19"/>
      <c r="L71" s="31"/>
      <c r="Q71" s="33"/>
      <c r="R71" s="21"/>
      <c r="U71" s="10"/>
      <c r="V71" s="10"/>
      <c r="W71" s="10"/>
      <c r="X71" s="10"/>
      <c r="Y71" s="10"/>
      <c r="Z71" s="10"/>
      <c r="AA71" s="10"/>
    </row>
    <row r="72" spans="1:46" x14ac:dyDescent="0.2">
      <c r="A72" s="12" t="s">
        <v>298</v>
      </c>
      <c r="B72" s="12"/>
      <c r="C72" s="12"/>
      <c r="D72" s="12"/>
      <c r="E72" s="12"/>
      <c r="F72" s="12"/>
      <c r="G72" s="12"/>
      <c r="H72" s="12"/>
      <c r="I72" s="12"/>
      <c r="J72" s="12"/>
      <c r="K72" s="12"/>
      <c r="L72" s="12"/>
      <c r="M72" s="12"/>
      <c r="N72" s="12"/>
      <c r="O72" s="12"/>
      <c r="P72" s="12"/>
      <c r="Q72" s="12"/>
      <c r="R72" s="12"/>
      <c r="S72" s="12"/>
      <c r="T72" s="12"/>
      <c r="AC72" s="21"/>
      <c r="AD72" s="21"/>
      <c r="AE72" s="21"/>
      <c r="AF72" s="21"/>
      <c r="AG72" s="21"/>
      <c r="AH72" s="21"/>
      <c r="AI72" s="21"/>
      <c r="AJ72" s="21"/>
      <c r="AK72" s="21"/>
      <c r="AL72" s="21"/>
    </row>
    <row r="73" spans="1:46" x14ac:dyDescent="0.2">
      <c r="A73" s="12" t="s">
        <v>299</v>
      </c>
      <c r="B73" s="144">
        <f t="shared" ref="B73:AT73" si="23">(B107/B39)*1</f>
        <v>19.505154639175259</v>
      </c>
      <c r="C73" s="144">
        <f t="shared" si="23"/>
        <v>20.505050505050505</v>
      </c>
      <c r="D73" s="144">
        <f t="shared" si="23"/>
        <v>19.202072538860104</v>
      </c>
      <c r="E73" s="144">
        <f t="shared" si="23"/>
        <v>19</v>
      </c>
      <c r="F73" s="144">
        <f t="shared" si="23"/>
        <v>19.601851851851851</v>
      </c>
      <c r="G73" s="144">
        <f t="shared" si="23"/>
        <v>19.703389830508474</v>
      </c>
      <c r="H73" s="144">
        <f t="shared" si="23"/>
        <v>20.8</v>
      </c>
      <c r="I73" s="144">
        <f t="shared" si="23"/>
        <v>20.5</v>
      </c>
      <c r="J73" s="144">
        <f t="shared" si="23"/>
        <v>16.50344827586207</v>
      </c>
      <c r="K73" s="144">
        <f t="shared" si="23"/>
        <v>17.100000000000001</v>
      </c>
      <c r="L73" s="144">
        <f t="shared" si="23"/>
        <v>20.802547770700638</v>
      </c>
      <c r="M73" s="144">
        <f t="shared" si="23"/>
        <v>15.5</v>
      </c>
      <c r="N73" s="144">
        <f t="shared" si="23"/>
        <v>17.702857142857145</v>
      </c>
      <c r="O73" s="144">
        <f t="shared" si="23"/>
        <v>17</v>
      </c>
      <c r="P73" s="144">
        <f t="shared" si="23"/>
        <v>16.197860962566846</v>
      </c>
      <c r="Q73" s="144">
        <f t="shared" si="23"/>
        <v>15.797872340425531</v>
      </c>
      <c r="R73" s="144">
        <f t="shared" si="23"/>
        <v>15.1</v>
      </c>
      <c r="S73" s="144">
        <f t="shared" si="23"/>
        <v>19</v>
      </c>
      <c r="T73" s="144">
        <f t="shared" si="23"/>
        <v>16</v>
      </c>
      <c r="U73" s="144">
        <f t="shared" si="23"/>
        <v>18.600000000000001</v>
      </c>
      <c r="V73" s="144">
        <f t="shared" si="23"/>
        <v>20.5</v>
      </c>
      <c r="W73" s="144">
        <f t="shared" si="23"/>
        <v>19.397590361445783</v>
      </c>
      <c r="X73" s="144">
        <f t="shared" si="23"/>
        <v>18.101694915254239</v>
      </c>
      <c r="Y73" s="144">
        <f t="shared" si="23"/>
        <v>19.101123595505619</v>
      </c>
      <c r="Z73" s="144">
        <f t="shared" si="23"/>
        <v>21.098159509202453</v>
      </c>
      <c r="AA73" s="144">
        <f t="shared" si="23"/>
        <v>21.30263157894737</v>
      </c>
      <c r="AB73" s="144">
        <f t="shared" si="23"/>
        <v>23.2012987012987</v>
      </c>
      <c r="AC73" s="144">
        <f t="shared" si="23"/>
        <v>23.402684563758388</v>
      </c>
      <c r="AD73" s="144">
        <f t="shared" si="23"/>
        <v>28.698529411764707</v>
      </c>
      <c r="AE73" s="144">
        <f t="shared" si="23"/>
        <v>24.397058823529413</v>
      </c>
      <c r="AF73" s="144">
        <f t="shared" si="23"/>
        <v>26</v>
      </c>
      <c r="AG73" s="144">
        <f t="shared" si="23"/>
        <v>24</v>
      </c>
      <c r="AH73" s="144">
        <f t="shared" si="23"/>
        <v>29</v>
      </c>
      <c r="AI73" s="144">
        <f t="shared" si="23"/>
        <v>26.202614379084967</v>
      </c>
      <c r="AJ73" s="144">
        <f t="shared" si="23"/>
        <v>29.3</v>
      </c>
      <c r="AK73" s="144">
        <f t="shared" si="23"/>
        <v>31.701986754966889</v>
      </c>
      <c r="AL73" s="144">
        <f t="shared" si="23"/>
        <v>30.798657718120804</v>
      </c>
      <c r="AM73" s="144">
        <f t="shared" si="23"/>
        <v>25.202797202797203</v>
      </c>
      <c r="AN73" s="147">
        <f t="shared" si="23"/>
        <v>29.100671140939596</v>
      </c>
      <c r="AO73" s="147">
        <f t="shared" si="23"/>
        <v>28.6</v>
      </c>
      <c r="AP73" s="144">
        <f t="shared" si="23"/>
        <v>28.2987012987013</v>
      </c>
      <c r="AQ73" s="144">
        <f t="shared" si="23"/>
        <v>37.401408450704224</v>
      </c>
      <c r="AR73" s="144">
        <f t="shared" si="23"/>
        <v>28.797101449275363</v>
      </c>
      <c r="AS73" s="144">
        <f t="shared" si="23"/>
        <v>33.401515151515149</v>
      </c>
      <c r="AT73" s="147">
        <f t="shared" si="23"/>
        <v>30.603127326880116</v>
      </c>
    </row>
    <row r="74" spans="1:46" x14ac:dyDescent="0.2">
      <c r="A74" s="12" t="s">
        <v>300</v>
      </c>
      <c r="B74" s="144">
        <f>(B108/B40)*1</f>
        <v>19.04494382022472</v>
      </c>
      <c r="C74" s="144">
        <f>(C108/C40)*1</f>
        <v>19.722222222222221</v>
      </c>
      <c r="D74" s="144" t="s">
        <v>152</v>
      </c>
      <c r="E74" s="144">
        <f t="shared" ref="E74:R74" si="24">(E108/E40)*1</f>
        <v>17.61904761904762</v>
      </c>
      <c r="F74" s="144">
        <f t="shared" si="24"/>
        <v>18.785046728971963</v>
      </c>
      <c r="G74" s="144">
        <f t="shared" si="24"/>
        <v>20.314960629921259</v>
      </c>
      <c r="H74" s="144">
        <f t="shared" si="24"/>
        <v>20.6</v>
      </c>
      <c r="I74" s="144">
        <f t="shared" si="24"/>
        <v>16.60493827160494</v>
      </c>
      <c r="J74" s="144">
        <f t="shared" si="24"/>
        <v>15.918367346938776</v>
      </c>
      <c r="K74" s="144">
        <f t="shared" si="24"/>
        <v>16.722689075630253</v>
      </c>
      <c r="L74" s="144">
        <f t="shared" si="24"/>
        <v>18.489583333333336</v>
      </c>
      <c r="M74" s="144">
        <f t="shared" si="24"/>
        <v>16</v>
      </c>
      <c r="N74" s="144">
        <f t="shared" si="24"/>
        <v>16</v>
      </c>
      <c r="O74" s="144">
        <f t="shared" si="24"/>
        <v>12.114285714285714</v>
      </c>
      <c r="P74" s="144">
        <f t="shared" si="24"/>
        <v>16.5</v>
      </c>
      <c r="Q74" s="144">
        <f t="shared" si="24"/>
        <v>15.032679738562091</v>
      </c>
      <c r="R74" s="144">
        <f t="shared" si="24"/>
        <v>18.695652173913047</v>
      </c>
      <c r="S74" s="144">
        <v>19</v>
      </c>
      <c r="T74" s="144">
        <f t="shared" ref="T74:Z75" si="25">(T108/T40)*1</f>
        <v>17.27272727272727</v>
      </c>
      <c r="U74" s="144">
        <f t="shared" si="25"/>
        <v>19.411764705882355</v>
      </c>
      <c r="V74" s="144">
        <f t="shared" si="25"/>
        <v>21.25</v>
      </c>
      <c r="W74" s="144">
        <f t="shared" si="25"/>
        <v>20</v>
      </c>
      <c r="X74" s="144">
        <f t="shared" si="25"/>
        <v>20.555555555555554</v>
      </c>
      <c r="Y74" s="144">
        <f t="shared" si="25"/>
        <v>24.210526315789476</v>
      </c>
      <c r="Z74" s="144">
        <f t="shared" si="25"/>
        <v>21.764705882352942</v>
      </c>
      <c r="AA74" s="144">
        <v>0</v>
      </c>
      <c r="AB74" s="144">
        <v>0</v>
      </c>
      <c r="AC74" s="144">
        <v>0</v>
      </c>
      <c r="AD74" s="144">
        <v>0</v>
      </c>
      <c r="AE74" s="144">
        <v>0</v>
      </c>
      <c r="AF74" s="144">
        <v>0</v>
      </c>
      <c r="AG74" s="144">
        <v>0</v>
      </c>
      <c r="AH74" s="144">
        <v>0</v>
      </c>
      <c r="AI74" s="144">
        <v>0</v>
      </c>
      <c r="AJ74" s="144">
        <v>0</v>
      </c>
      <c r="AK74" s="144">
        <v>0</v>
      </c>
      <c r="AL74" s="144">
        <v>0</v>
      </c>
      <c r="AM74" s="144">
        <v>0</v>
      </c>
      <c r="AN74" s="147">
        <v>0</v>
      </c>
      <c r="AO74" s="147">
        <v>0</v>
      </c>
      <c r="AP74" s="144">
        <v>0</v>
      </c>
      <c r="AQ74" s="144">
        <v>0</v>
      </c>
      <c r="AR74" s="144">
        <v>0</v>
      </c>
      <c r="AS74" s="144">
        <v>0</v>
      </c>
      <c r="AT74" s="147">
        <v>0</v>
      </c>
    </row>
    <row r="75" spans="1:46" x14ac:dyDescent="0.2">
      <c r="A75" s="12" t="s">
        <v>301</v>
      </c>
      <c r="B75" s="144">
        <f>(B109/B41)*1</f>
        <v>19.433797909407666</v>
      </c>
      <c r="C75" s="144">
        <f>(C109/C41)*1</f>
        <v>20.405643738977073</v>
      </c>
      <c r="D75" s="144">
        <f>(D109/D41)*1</f>
        <v>19.202072538860104</v>
      </c>
      <c r="E75" s="144">
        <f t="shared" ref="E75:R75" si="26">(E109/E41)*1</f>
        <v>18.850771869639797</v>
      </c>
      <c r="F75" s="144">
        <f t="shared" si="26"/>
        <v>19.52822240943555</v>
      </c>
      <c r="G75" s="144">
        <f t="shared" si="26"/>
        <v>19.7628156082632</v>
      </c>
      <c r="H75" s="144">
        <f t="shared" si="26"/>
        <v>20.776</v>
      </c>
      <c r="I75" s="144">
        <f t="shared" si="26"/>
        <v>20.101137800252847</v>
      </c>
      <c r="J75" s="144">
        <f t="shared" si="26"/>
        <v>16.449592986850345</v>
      </c>
      <c r="K75" s="144">
        <f t="shared" si="26"/>
        <v>17.072266831377394</v>
      </c>
      <c r="L75" s="144">
        <f t="shared" si="26"/>
        <v>20.55051078320091</v>
      </c>
      <c r="M75" s="144">
        <f t="shared" si="26"/>
        <v>15.550135501355014</v>
      </c>
      <c r="N75" s="144">
        <f t="shared" si="26"/>
        <v>17.524296675191817</v>
      </c>
      <c r="O75" s="144">
        <f t="shared" si="26"/>
        <v>16.581907090464547</v>
      </c>
      <c r="P75" s="144">
        <f t="shared" si="26"/>
        <v>16.221674876847292</v>
      </c>
      <c r="Q75" s="144">
        <f t="shared" si="26"/>
        <v>15.740285292670929</v>
      </c>
      <c r="R75" s="144">
        <f t="shared" si="26"/>
        <v>15.222882615156019</v>
      </c>
      <c r="S75" s="144">
        <f>(S109/S41)*1</f>
        <v>18.999378495960222</v>
      </c>
      <c r="T75" s="144">
        <f t="shared" si="25"/>
        <v>16.00804135554279</v>
      </c>
      <c r="U75" s="144">
        <f t="shared" si="25"/>
        <v>18.607198748043821</v>
      </c>
      <c r="V75" s="144">
        <f t="shared" si="25"/>
        <v>20.503597122302157</v>
      </c>
      <c r="W75" s="144">
        <f t="shared" si="25"/>
        <v>19.399759903961584</v>
      </c>
      <c r="X75" s="144">
        <f t="shared" si="25"/>
        <v>18.126398210290827</v>
      </c>
      <c r="Y75" s="144">
        <f t="shared" si="25"/>
        <v>19.155086158977209</v>
      </c>
      <c r="Z75" s="144">
        <f t="shared" si="25"/>
        <v>21.105039465695207</v>
      </c>
      <c r="AA75" s="144">
        <f t="shared" ref="AA75:AT75" si="27">(AA109/AA41)*1</f>
        <v>21.30263157894737</v>
      </c>
      <c r="AB75" s="144">
        <f t="shared" si="27"/>
        <v>23.2012987012987</v>
      </c>
      <c r="AC75" s="144">
        <f t="shared" si="27"/>
        <v>23.402684563758388</v>
      </c>
      <c r="AD75" s="144">
        <f t="shared" si="27"/>
        <v>28.698529411764707</v>
      </c>
      <c r="AE75" s="144">
        <f t="shared" si="27"/>
        <v>24.397058823529413</v>
      </c>
      <c r="AF75" s="144">
        <f t="shared" si="27"/>
        <v>26</v>
      </c>
      <c r="AG75" s="144">
        <f t="shared" si="27"/>
        <v>24</v>
      </c>
      <c r="AH75" s="144">
        <f t="shared" si="27"/>
        <v>29</v>
      </c>
      <c r="AI75" s="144">
        <f t="shared" si="27"/>
        <v>26.202614379084967</v>
      </c>
      <c r="AJ75" s="144">
        <f t="shared" si="27"/>
        <v>29.3</v>
      </c>
      <c r="AK75" s="144">
        <f t="shared" si="27"/>
        <v>31.701986754966889</v>
      </c>
      <c r="AL75" s="144">
        <f t="shared" si="27"/>
        <v>30.798657718120804</v>
      </c>
      <c r="AM75" s="144">
        <f t="shared" si="27"/>
        <v>25.202797202797203</v>
      </c>
      <c r="AN75" s="147">
        <f t="shared" si="27"/>
        <v>29.100671140939596</v>
      </c>
      <c r="AO75" s="147">
        <f t="shared" si="27"/>
        <v>28.6</v>
      </c>
      <c r="AP75" s="144">
        <f t="shared" si="27"/>
        <v>28.2987012987013</v>
      </c>
      <c r="AQ75" s="144">
        <f t="shared" si="27"/>
        <v>37.401408450704224</v>
      </c>
      <c r="AR75" s="144">
        <f t="shared" si="27"/>
        <v>28.797101449275363</v>
      </c>
      <c r="AS75" s="144">
        <f t="shared" si="27"/>
        <v>33.401515151515149</v>
      </c>
      <c r="AT75" s="147">
        <f t="shared" si="27"/>
        <v>30.603127326880116</v>
      </c>
    </row>
    <row r="76" spans="1:46" x14ac:dyDescent="0.2">
      <c r="A76" s="12"/>
      <c r="B76" s="144"/>
      <c r="C76" s="144"/>
      <c r="D76" s="144"/>
      <c r="E76" s="144"/>
      <c r="F76" s="144"/>
      <c r="G76" s="144"/>
      <c r="H76" s="144"/>
      <c r="I76" s="144"/>
      <c r="J76" s="144"/>
      <c r="K76" s="144"/>
      <c r="L76" s="144"/>
      <c r="M76" s="144"/>
      <c r="N76" s="144"/>
      <c r="O76" s="144"/>
      <c r="P76" s="144"/>
      <c r="Q76" s="144"/>
      <c r="R76" s="144"/>
      <c r="S76" s="144"/>
      <c r="T76" s="144"/>
      <c r="U76" s="147"/>
      <c r="V76" s="147"/>
      <c r="W76" s="147"/>
      <c r="X76" s="147"/>
      <c r="Y76" s="147"/>
      <c r="Z76" s="147"/>
      <c r="AA76" s="147"/>
      <c r="AB76" s="147"/>
      <c r="AC76" s="147"/>
      <c r="AD76" s="147"/>
      <c r="AE76" s="147"/>
      <c r="AF76" s="147"/>
      <c r="AG76" s="147"/>
      <c r="AH76" s="147"/>
      <c r="AI76" s="147"/>
      <c r="AJ76" s="147"/>
      <c r="AK76" s="147"/>
      <c r="AL76" s="147"/>
      <c r="AM76" s="147"/>
      <c r="AN76" s="147"/>
      <c r="AO76" s="147"/>
      <c r="AP76" s="147"/>
      <c r="AQ76" s="147"/>
      <c r="AR76" s="147"/>
      <c r="AS76" s="147"/>
      <c r="AT76" s="147"/>
    </row>
    <row r="77" spans="1:46" x14ac:dyDescent="0.2">
      <c r="A77" s="12" t="s">
        <v>319</v>
      </c>
      <c r="B77" s="144"/>
      <c r="C77" s="144"/>
      <c r="D77" s="144"/>
      <c r="E77" s="144"/>
      <c r="F77" s="144"/>
      <c r="G77" s="144"/>
      <c r="H77" s="144"/>
      <c r="I77" s="144"/>
      <c r="J77" s="144"/>
      <c r="K77" s="144"/>
      <c r="L77" s="144"/>
      <c r="M77" s="144"/>
      <c r="N77" s="144"/>
      <c r="O77" s="144"/>
      <c r="P77" s="144"/>
      <c r="Q77" s="144"/>
      <c r="R77" s="144"/>
      <c r="S77" s="144"/>
      <c r="T77" s="144"/>
      <c r="U77" s="147"/>
      <c r="V77" s="147"/>
      <c r="W77" s="147"/>
      <c r="X77" s="147"/>
      <c r="Y77" s="147"/>
      <c r="Z77" s="147"/>
      <c r="AA77" s="147"/>
      <c r="AB77" s="147"/>
      <c r="AC77" s="147"/>
      <c r="AD77" s="147"/>
      <c r="AE77" s="147"/>
      <c r="AF77" s="147"/>
      <c r="AG77" s="147"/>
      <c r="AH77" s="147"/>
      <c r="AI77" s="147"/>
      <c r="AJ77" s="147"/>
      <c r="AK77" s="147"/>
      <c r="AL77" s="147"/>
      <c r="AM77" s="147"/>
      <c r="AN77" s="147"/>
      <c r="AO77" s="147"/>
      <c r="AP77" s="147"/>
      <c r="AQ77" s="147"/>
      <c r="AR77" s="147"/>
      <c r="AS77" s="147"/>
      <c r="AT77" s="147"/>
    </row>
    <row r="78" spans="1:46" x14ac:dyDescent="0.2">
      <c r="A78" s="12" t="s">
        <v>303</v>
      </c>
      <c r="B78" s="144">
        <f t="shared" ref="B78:AT78" si="28">(B112/B44)*1</f>
        <v>14.901234567901234</v>
      </c>
      <c r="C78" s="144">
        <f t="shared" si="28"/>
        <v>17.19921875</v>
      </c>
      <c r="D78" s="144">
        <f t="shared" si="28"/>
        <v>18.801587301587301</v>
      </c>
      <c r="E78" s="144">
        <f t="shared" si="28"/>
        <v>18</v>
      </c>
      <c r="F78" s="144">
        <f t="shared" si="28"/>
        <v>16.50190114068441</v>
      </c>
      <c r="G78" s="144">
        <f t="shared" si="28"/>
        <v>18.434782608695652</v>
      </c>
      <c r="H78" s="144">
        <f t="shared" si="28"/>
        <v>16.70096463022508</v>
      </c>
      <c r="I78" s="144">
        <f t="shared" si="28"/>
        <v>20</v>
      </c>
      <c r="J78" s="144">
        <f t="shared" si="28"/>
        <v>14.200598802395209</v>
      </c>
      <c r="K78" s="144">
        <f t="shared" si="28"/>
        <v>16</v>
      </c>
      <c r="L78" s="144">
        <f t="shared" si="28"/>
        <v>14.799450549450549</v>
      </c>
      <c r="M78" s="144">
        <f t="shared" si="28"/>
        <v>17</v>
      </c>
      <c r="N78" s="144">
        <f t="shared" si="28"/>
        <v>18.5</v>
      </c>
      <c r="O78" s="144">
        <f t="shared" si="28"/>
        <v>14.100263852242744</v>
      </c>
      <c r="P78" s="144">
        <f t="shared" si="28"/>
        <v>20.600973236009732</v>
      </c>
      <c r="Q78" s="144">
        <f t="shared" si="28"/>
        <v>17.7</v>
      </c>
      <c r="R78" s="144">
        <f t="shared" si="28"/>
        <v>18.198630136986303</v>
      </c>
      <c r="S78" s="144">
        <f t="shared" si="28"/>
        <v>18.5</v>
      </c>
      <c r="T78" s="144">
        <f t="shared" si="28"/>
        <v>21.200873362445414</v>
      </c>
      <c r="U78" s="144">
        <f t="shared" si="28"/>
        <v>20.100000000000001</v>
      </c>
      <c r="V78" s="144">
        <f t="shared" si="28"/>
        <v>21.5</v>
      </c>
      <c r="W78" s="144">
        <f t="shared" si="28"/>
        <v>18.300469483568076</v>
      </c>
      <c r="X78" s="144">
        <f t="shared" si="28"/>
        <v>18.600840336134453</v>
      </c>
      <c r="Y78" s="144">
        <f t="shared" si="28"/>
        <v>20.599589322381931</v>
      </c>
      <c r="Z78" s="144">
        <f t="shared" si="28"/>
        <v>20.9</v>
      </c>
      <c r="AA78" s="144">
        <f t="shared" si="28"/>
        <v>20.399999999999999</v>
      </c>
      <c r="AB78" s="144">
        <f t="shared" si="28"/>
        <v>24.89937106918239</v>
      </c>
      <c r="AC78" s="144">
        <f t="shared" si="28"/>
        <v>23.800415800415802</v>
      </c>
      <c r="AD78" s="144">
        <f t="shared" si="28"/>
        <v>24.699248120300751</v>
      </c>
      <c r="AE78" s="144">
        <f t="shared" si="28"/>
        <v>23.699331848552337</v>
      </c>
      <c r="AF78" s="144">
        <f t="shared" si="28"/>
        <v>26.600907029478456</v>
      </c>
      <c r="AG78" s="144">
        <f t="shared" si="28"/>
        <v>19</v>
      </c>
      <c r="AH78" s="144">
        <f t="shared" si="28"/>
        <v>26.501079913606912</v>
      </c>
      <c r="AI78" s="144">
        <f t="shared" si="28"/>
        <v>26</v>
      </c>
      <c r="AJ78" s="144">
        <f t="shared" si="28"/>
        <v>22.5</v>
      </c>
      <c r="AK78" s="144">
        <f t="shared" si="28"/>
        <v>28</v>
      </c>
      <c r="AL78" s="144">
        <f t="shared" si="28"/>
        <v>30</v>
      </c>
      <c r="AM78" s="144">
        <f t="shared" si="28"/>
        <v>30.599022004889974</v>
      </c>
      <c r="AN78" s="147">
        <f t="shared" si="28"/>
        <v>25.700980392156861</v>
      </c>
      <c r="AO78" s="147">
        <f t="shared" si="28"/>
        <v>25</v>
      </c>
      <c r="AP78" s="144">
        <f t="shared" si="28"/>
        <v>26.100233100233101</v>
      </c>
      <c r="AQ78" s="144">
        <f t="shared" si="28"/>
        <v>31</v>
      </c>
      <c r="AR78" s="144">
        <f t="shared" si="28"/>
        <v>25.700696055684453</v>
      </c>
      <c r="AS78" s="144">
        <f t="shared" si="28"/>
        <v>30.10105757931845</v>
      </c>
      <c r="AT78" s="147">
        <f t="shared" si="28"/>
        <v>29.50074887668497</v>
      </c>
    </row>
    <row r="79" spans="1:46" x14ac:dyDescent="0.2">
      <c r="A79" s="12" t="s">
        <v>304</v>
      </c>
      <c r="B79" s="144">
        <f t="shared" ref="B79:AT79" si="29">(B113/B45)*1</f>
        <v>14.134548002803085</v>
      </c>
      <c r="C79" s="144">
        <f t="shared" si="29"/>
        <v>18.59903381642512</v>
      </c>
      <c r="D79" s="144">
        <f t="shared" si="29"/>
        <v>17.099447513812155</v>
      </c>
      <c r="E79" s="144">
        <f t="shared" si="29"/>
        <v>16.905766526019693</v>
      </c>
      <c r="F79" s="144">
        <f t="shared" si="29"/>
        <v>16.599568655643424</v>
      </c>
      <c r="G79" s="144">
        <f t="shared" si="29"/>
        <v>16.803051317614425</v>
      </c>
      <c r="H79" s="144">
        <f t="shared" si="29"/>
        <v>17.8998778998779</v>
      </c>
      <c r="I79" s="144">
        <f t="shared" si="29"/>
        <v>19.597024178549287</v>
      </c>
      <c r="J79" s="144">
        <f t="shared" si="29"/>
        <v>14.7008547008547</v>
      </c>
      <c r="K79" s="144">
        <f t="shared" si="29"/>
        <v>15.702387562465297</v>
      </c>
      <c r="L79" s="144">
        <f t="shared" si="29"/>
        <v>14.399585921325052</v>
      </c>
      <c r="M79" s="144">
        <f t="shared" si="29"/>
        <v>18.401237751418257</v>
      </c>
      <c r="N79" s="144">
        <f t="shared" si="29"/>
        <v>17.401129943502827</v>
      </c>
      <c r="O79" s="144">
        <f t="shared" si="29"/>
        <v>16.301728653745418</v>
      </c>
      <c r="P79" s="144">
        <f t="shared" si="29"/>
        <v>21.200992555831267</v>
      </c>
      <c r="Q79" s="144">
        <f t="shared" si="29"/>
        <v>19.240940254652301</v>
      </c>
      <c r="R79" s="144">
        <f t="shared" si="29"/>
        <v>18.699511762094982</v>
      </c>
      <c r="S79" s="144">
        <f t="shared" si="29"/>
        <v>18.483516483516482</v>
      </c>
      <c r="T79" s="144">
        <f t="shared" si="29"/>
        <v>22.201154163231656</v>
      </c>
      <c r="U79" s="144">
        <f t="shared" si="29"/>
        <v>20.801619433198379</v>
      </c>
      <c r="V79" s="144">
        <f t="shared" si="29"/>
        <v>22.099137931034484</v>
      </c>
      <c r="W79" s="144">
        <f t="shared" si="29"/>
        <v>18.101265822784811</v>
      </c>
      <c r="X79" s="144">
        <f t="shared" si="29"/>
        <v>18.600775193798448</v>
      </c>
      <c r="Y79" s="144">
        <f t="shared" si="29"/>
        <v>20.399999999999999</v>
      </c>
      <c r="Z79" s="144">
        <f t="shared" si="29"/>
        <v>19.699186991869919</v>
      </c>
      <c r="AA79" s="144">
        <f t="shared" si="29"/>
        <v>18.798353909465021</v>
      </c>
      <c r="AB79" s="144">
        <f t="shared" si="29"/>
        <v>26</v>
      </c>
      <c r="AC79" s="144">
        <f t="shared" si="29"/>
        <v>23.101214574898787</v>
      </c>
      <c r="AD79" s="144">
        <f t="shared" si="29"/>
        <v>25.898477157360407</v>
      </c>
      <c r="AE79" s="144">
        <f t="shared" si="29"/>
        <v>22</v>
      </c>
      <c r="AF79" s="144">
        <f t="shared" si="29"/>
        <v>26.5</v>
      </c>
      <c r="AG79" s="144">
        <f t="shared" si="29"/>
        <v>20.502222222222223</v>
      </c>
      <c r="AH79" s="144">
        <f t="shared" si="29"/>
        <v>28</v>
      </c>
      <c r="AI79" s="144">
        <f t="shared" si="29"/>
        <v>25.302222222222223</v>
      </c>
      <c r="AJ79" s="144">
        <f t="shared" si="29"/>
        <v>23.799065420560748</v>
      </c>
      <c r="AK79" s="144">
        <f t="shared" si="29"/>
        <v>27.898058252427184</v>
      </c>
      <c r="AL79" s="144">
        <f t="shared" si="29"/>
        <v>30.798029556650246</v>
      </c>
      <c r="AM79" s="144">
        <f t="shared" si="29"/>
        <v>30.400943396226417</v>
      </c>
      <c r="AN79" s="147">
        <f t="shared" si="29"/>
        <v>28.798994974874372</v>
      </c>
      <c r="AO79" s="147">
        <f t="shared" si="29"/>
        <v>26</v>
      </c>
      <c r="AP79" s="144">
        <f t="shared" si="29"/>
        <v>24.899082568807341</v>
      </c>
      <c r="AQ79" s="144">
        <f t="shared" si="29"/>
        <v>29.198198198198199</v>
      </c>
      <c r="AR79" s="144">
        <f t="shared" si="29"/>
        <v>26.100401606425702</v>
      </c>
      <c r="AS79" s="144">
        <f t="shared" si="29"/>
        <v>28.898678414096917</v>
      </c>
      <c r="AT79" s="147">
        <f t="shared" si="29"/>
        <v>31.500707881075979</v>
      </c>
    </row>
    <row r="80" spans="1:46" x14ac:dyDescent="0.2">
      <c r="A80" s="12" t="s">
        <v>301</v>
      </c>
      <c r="B80" s="144">
        <f t="shared" ref="B80:AT80" si="30">(B114/B46)*1</f>
        <v>14.617578428830697</v>
      </c>
      <c r="C80" s="144">
        <f t="shared" si="30"/>
        <v>17.705163382389625</v>
      </c>
      <c r="D80" s="144">
        <f t="shared" si="30"/>
        <v>18.180443548387096</v>
      </c>
      <c r="E80" s="144">
        <f t="shared" si="30"/>
        <v>17.612163509471586</v>
      </c>
      <c r="F80" s="144">
        <f t="shared" si="30"/>
        <v>16.535687639890572</v>
      </c>
      <c r="G80" s="144">
        <f t="shared" si="30"/>
        <v>17.874821513564971</v>
      </c>
      <c r="H80" s="144">
        <f t="shared" si="30"/>
        <v>17.114574557708508</v>
      </c>
      <c r="I80" s="144">
        <f t="shared" si="30"/>
        <v>19.862083598557181</v>
      </c>
      <c r="J80" s="144">
        <f t="shared" si="30"/>
        <v>14.372914622178607</v>
      </c>
      <c r="K80" s="144">
        <f t="shared" si="30"/>
        <v>15.897140663980041</v>
      </c>
      <c r="L80" s="144">
        <f t="shared" si="30"/>
        <v>14.660804020100501</v>
      </c>
      <c r="M80" s="144">
        <f t="shared" si="30"/>
        <v>17.487879332016522</v>
      </c>
      <c r="N80" s="144">
        <f t="shared" si="30"/>
        <v>18.121126261731892</v>
      </c>
      <c r="O80" s="144">
        <f t="shared" si="30"/>
        <v>14.837690822951396</v>
      </c>
      <c r="P80" s="144">
        <f t="shared" si="30"/>
        <v>20.798367346938775</v>
      </c>
      <c r="Q80" s="144">
        <f t="shared" si="30"/>
        <v>18.204101249599486</v>
      </c>
      <c r="R80" s="144">
        <f t="shared" si="30"/>
        <v>18.368762249359264</v>
      </c>
      <c r="S80" s="144">
        <f t="shared" si="30"/>
        <v>18.494432071269486</v>
      </c>
      <c r="T80" s="144">
        <f t="shared" si="30"/>
        <v>21.547245218384241</v>
      </c>
      <c r="U80" s="144">
        <f t="shared" si="30"/>
        <v>20.341701534170152</v>
      </c>
      <c r="V80" s="144">
        <f t="shared" si="30"/>
        <v>21.709969788519636</v>
      </c>
      <c r="W80" s="144">
        <f t="shared" si="30"/>
        <v>18.229260935143287</v>
      </c>
      <c r="X80" s="144">
        <f t="shared" si="30"/>
        <v>18.600817438692097</v>
      </c>
      <c r="Y80" s="144">
        <f t="shared" si="30"/>
        <v>20.530997304582211</v>
      </c>
      <c r="Z80" s="144">
        <f t="shared" si="30"/>
        <v>20.487430167597765</v>
      </c>
      <c r="AA80" s="144">
        <f t="shared" si="30"/>
        <v>19.846372688477953</v>
      </c>
      <c r="AB80" s="144">
        <f t="shared" si="30"/>
        <v>25.270833333333332</v>
      </c>
      <c r="AC80" s="144">
        <f t="shared" si="30"/>
        <v>23.563186813186814</v>
      </c>
      <c r="AD80" s="144">
        <f t="shared" si="30"/>
        <v>25.095637583892618</v>
      </c>
      <c r="AE80" s="144">
        <f t="shared" si="30"/>
        <v>23.143928035982007</v>
      </c>
      <c r="AF80" s="144">
        <f t="shared" si="30"/>
        <v>26.567938931297711</v>
      </c>
      <c r="AG80" s="144">
        <f t="shared" si="30"/>
        <v>19.487031700288185</v>
      </c>
      <c r="AH80" s="144">
        <f t="shared" si="30"/>
        <v>26.976401179941004</v>
      </c>
      <c r="AI80" s="144">
        <f t="shared" si="30"/>
        <v>25.758832565284177</v>
      </c>
      <c r="AJ80" s="144">
        <f t="shared" si="30"/>
        <v>22.929012345679013</v>
      </c>
      <c r="AK80" s="144">
        <f t="shared" si="30"/>
        <v>27.967238689547582</v>
      </c>
      <c r="AL80" s="144">
        <f t="shared" si="30"/>
        <v>30.261290322580646</v>
      </c>
      <c r="AM80" s="144">
        <f t="shared" si="30"/>
        <v>30.531400966183575</v>
      </c>
      <c r="AN80" s="147">
        <f t="shared" si="30"/>
        <v>26.716639209225701</v>
      </c>
      <c r="AO80" s="147">
        <f t="shared" si="30"/>
        <v>25.335305719921106</v>
      </c>
      <c r="AP80" s="144">
        <f t="shared" si="30"/>
        <v>25.695517774343124</v>
      </c>
      <c r="AQ80" s="144">
        <f t="shared" si="30"/>
        <v>30.35275080906149</v>
      </c>
      <c r="AR80" s="144">
        <f t="shared" si="30"/>
        <v>25.847058823529412</v>
      </c>
      <c r="AS80" s="144">
        <f t="shared" si="30"/>
        <v>29.682758620689654</v>
      </c>
      <c r="AT80" s="147">
        <f t="shared" si="30"/>
        <v>30.19265306122449</v>
      </c>
    </row>
    <row r="81" spans="1:46" x14ac:dyDescent="0.2">
      <c r="A81" s="12"/>
      <c r="B81" s="144"/>
      <c r="C81" s="144"/>
      <c r="D81" s="144"/>
      <c r="E81" s="144"/>
      <c r="F81" s="144"/>
      <c r="G81" s="144"/>
      <c r="H81" s="144"/>
      <c r="I81" s="144"/>
      <c r="J81" s="144"/>
      <c r="K81" s="144"/>
      <c r="L81" s="144"/>
      <c r="M81" s="144"/>
      <c r="N81" s="144"/>
      <c r="O81" s="144"/>
      <c r="P81" s="144"/>
      <c r="Q81" s="144"/>
      <c r="R81" s="144"/>
      <c r="S81" s="144"/>
      <c r="T81" s="144"/>
      <c r="U81" s="144"/>
      <c r="V81" s="147"/>
      <c r="W81" s="147"/>
      <c r="X81" s="147"/>
      <c r="Y81" s="147"/>
      <c r="Z81" s="147"/>
      <c r="AA81" s="147"/>
      <c r="AB81" s="147"/>
      <c r="AC81" s="147"/>
      <c r="AD81" s="147"/>
      <c r="AE81" s="147"/>
      <c r="AF81" s="147"/>
      <c r="AG81" s="147"/>
      <c r="AH81" s="147"/>
      <c r="AI81" s="147"/>
      <c r="AJ81" s="147"/>
      <c r="AK81" s="147"/>
      <c r="AL81" s="147"/>
      <c r="AM81" s="147"/>
      <c r="AN81" s="147"/>
      <c r="AO81" s="147"/>
      <c r="AP81" s="147"/>
      <c r="AQ81" s="147"/>
      <c r="AR81" s="147"/>
      <c r="AS81" s="147"/>
      <c r="AT81" s="147"/>
    </row>
    <row r="82" spans="1:46" x14ac:dyDescent="0.2">
      <c r="A82" s="12" t="s">
        <v>305</v>
      </c>
      <c r="B82" s="144"/>
      <c r="C82" s="144"/>
      <c r="D82" s="144"/>
      <c r="E82" s="144"/>
      <c r="F82" s="144"/>
      <c r="G82" s="144"/>
      <c r="H82" s="144"/>
      <c r="I82" s="144"/>
      <c r="J82" s="144"/>
      <c r="K82" s="144"/>
      <c r="L82" s="144"/>
      <c r="M82" s="144"/>
      <c r="N82" s="144"/>
      <c r="O82" s="144"/>
      <c r="P82" s="144"/>
      <c r="Q82" s="144"/>
      <c r="R82" s="144"/>
      <c r="S82" s="144"/>
      <c r="T82" s="144"/>
      <c r="U82" s="144"/>
      <c r="V82" s="147"/>
      <c r="W82" s="147"/>
      <c r="X82" s="147"/>
      <c r="Y82" s="147"/>
      <c r="Z82" s="147"/>
      <c r="AA82" s="147"/>
      <c r="AB82" s="147"/>
      <c r="AC82" s="147"/>
      <c r="AD82" s="147"/>
      <c r="AE82" s="147"/>
      <c r="AF82" s="147"/>
      <c r="AG82" s="147"/>
      <c r="AH82" s="147"/>
      <c r="AI82" s="147"/>
      <c r="AJ82" s="147"/>
      <c r="AK82" s="147"/>
      <c r="AL82" s="147"/>
      <c r="AM82" s="147"/>
      <c r="AN82" s="147"/>
      <c r="AO82" s="147"/>
      <c r="AP82" s="147"/>
      <c r="AQ82" s="147"/>
      <c r="AR82" s="147"/>
      <c r="AS82" s="147"/>
      <c r="AT82" s="147"/>
    </row>
    <row r="83" spans="1:46" x14ac:dyDescent="0.2">
      <c r="A83" s="12" t="s">
        <v>306</v>
      </c>
      <c r="B83" s="144">
        <f t="shared" ref="B83:AT83" si="31">(B117/B49)*1</f>
        <v>19</v>
      </c>
      <c r="C83" s="144">
        <f t="shared" si="31"/>
        <v>22.506493506493506</v>
      </c>
      <c r="D83" s="144">
        <f t="shared" si="31"/>
        <v>20</v>
      </c>
      <c r="E83" s="144">
        <f t="shared" si="31"/>
        <v>16.209677419354836</v>
      </c>
      <c r="F83" s="144">
        <f t="shared" si="31"/>
        <v>21.809954751131219</v>
      </c>
      <c r="G83" s="144">
        <f t="shared" si="31"/>
        <v>18.399999999999999</v>
      </c>
      <c r="H83" s="144">
        <f t="shared" si="31"/>
        <v>23.897849462365588</v>
      </c>
      <c r="I83" s="144">
        <f t="shared" si="31"/>
        <v>21.702702702702702</v>
      </c>
      <c r="J83" s="144">
        <f t="shared" si="31"/>
        <v>22.797927461139896</v>
      </c>
      <c r="K83" s="144">
        <f t="shared" si="31"/>
        <v>22.8</v>
      </c>
      <c r="L83" s="144">
        <f t="shared" si="31"/>
        <v>23.6</v>
      </c>
      <c r="M83" s="144">
        <f t="shared" si="31"/>
        <v>24.004975124378106</v>
      </c>
      <c r="N83" s="144">
        <f t="shared" si="31"/>
        <v>23.909774436090228</v>
      </c>
      <c r="O83" s="144">
        <f t="shared" si="31"/>
        <v>23.1</v>
      </c>
      <c r="P83" s="144">
        <f t="shared" si="31"/>
        <v>21.898148148148145</v>
      </c>
      <c r="Q83" s="144">
        <f t="shared" si="31"/>
        <v>17.396593673965935</v>
      </c>
      <c r="R83" s="144">
        <f t="shared" si="31"/>
        <v>20.195694716242659</v>
      </c>
      <c r="S83" s="144">
        <f t="shared" si="31"/>
        <v>19.69879518072289</v>
      </c>
      <c r="T83" s="144">
        <f t="shared" si="31"/>
        <v>22.705061082024432</v>
      </c>
      <c r="U83" s="144">
        <f t="shared" si="31"/>
        <v>21.299270072992702</v>
      </c>
      <c r="V83" s="144">
        <f t="shared" si="31"/>
        <v>22.5</v>
      </c>
      <c r="W83" s="144">
        <f t="shared" si="31"/>
        <v>22.39130434782609</v>
      </c>
      <c r="X83" s="144">
        <f t="shared" si="31"/>
        <v>20.101265822784811</v>
      </c>
      <c r="Y83" s="144">
        <f t="shared" si="31"/>
        <v>23.503649635036499</v>
      </c>
      <c r="Z83" s="144">
        <f t="shared" si="31"/>
        <v>25.014925373134329</v>
      </c>
      <c r="AA83" s="144">
        <f t="shared" si="31"/>
        <v>24.285714285714288</v>
      </c>
      <c r="AB83" s="144">
        <f t="shared" si="31"/>
        <v>23.394736842105264</v>
      </c>
      <c r="AC83" s="144">
        <f t="shared" si="31"/>
        <v>26.198630136986303</v>
      </c>
      <c r="AD83" s="144">
        <f t="shared" si="31"/>
        <v>26.503496503496503</v>
      </c>
      <c r="AE83" s="144">
        <f t="shared" si="31"/>
        <v>27.514285714285716</v>
      </c>
      <c r="AF83" s="144">
        <f t="shared" si="31"/>
        <v>29.498207885304662</v>
      </c>
      <c r="AG83" s="144">
        <f t="shared" si="31"/>
        <v>28.88501742160279</v>
      </c>
      <c r="AH83" s="144">
        <f t="shared" si="31"/>
        <v>31.784511784511785</v>
      </c>
      <c r="AI83" s="144">
        <f t="shared" si="31"/>
        <v>33.501945525291831</v>
      </c>
      <c r="AJ83" s="144">
        <f t="shared" si="31"/>
        <v>31.296928327645052</v>
      </c>
      <c r="AK83" s="144">
        <f t="shared" si="31"/>
        <v>35.091575091575088</v>
      </c>
      <c r="AL83" s="144">
        <f t="shared" si="31"/>
        <v>33.586956521739125</v>
      </c>
      <c r="AM83" s="144">
        <f t="shared" si="31"/>
        <v>35.689655172413794</v>
      </c>
      <c r="AN83" s="147">
        <f t="shared" si="31"/>
        <v>32.588235294117645</v>
      </c>
      <c r="AO83" s="147">
        <f t="shared" si="31"/>
        <v>30.699588477366255</v>
      </c>
      <c r="AP83" s="144">
        <f t="shared" si="31"/>
        <v>31.308016877637133</v>
      </c>
      <c r="AQ83" s="144">
        <f t="shared" si="31"/>
        <v>33.686440677966097</v>
      </c>
      <c r="AR83" s="144">
        <f t="shared" si="31"/>
        <v>28.682926829268293</v>
      </c>
      <c r="AS83" s="144">
        <f t="shared" si="31"/>
        <v>28.309859154929576</v>
      </c>
      <c r="AT83" s="147">
        <f t="shared" si="31"/>
        <v>32.085106382978722</v>
      </c>
    </row>
    <row r="84" spans="1:46" x14ac:dyDescent="0.2">
      <c r="A84" s="12" t="s">
        <v>307</v>
      </c>
      <c r="B84" s="144">
        <f t="shared" ref="B84:AT84" si="32">(B118/B50)*1</f>
        <v>20.30023094688222</v>
      </c>
      <c r="C84" s="144">
        <f t="shared" si="32"/>
        <v>20.808988764044944</v>
      </c>
      <c r="D84" s="144">
        <f t="shared" si="32"/>
        <v>19.767441860465116</v>
      </c>
      <c r="E84" s="144">
        <f t="shared" si="32"/>
        <v>19.80629539951574</v>
      </c>
      <c r="F84" s="144">
        <f t="shared" si="32"/>
        <v>16.910569105691057</v>
      </c>
      <c r="G84" s="144">
        <f t="shared" si="32"/>
        <v>18.992974238875878</v>
      </c>
      <c r="H84" s="144">
        <f t="shared" si="32"/>
        <v>21.70940170940171</v>
      </c>
      <c r="I84" s="144">
        <f t="shared" si="32"/>
        <v>22.208588957055216</v>
      </c>
      <c r="J84" s="144">
        <f t="shared" si="32"/>
        <v>21.104294478527606</v>
      </c>
      <c r="K84" s="144">
        <f t="shared" si="32"/>
        <v>19.903660886319848</v>
      </c>
      <c r="L84" s="144">
        <f t="shared" si="32"/>
        <v>22.504537205081668</v>
      </c>
      <c r="M84" s="144">
        <f t="shared" si="32"/>
        <v>23.303730017761989</v>
      </c>
      <c r="N84" s="144">
        <f t="shared" si="32"/>
        <v>22.795698924731184</v>
      </c>
      <c r="O84" s="144">
        <f t="shared" si="32"/>
        <v>21.608133086876155</v>
      </c>
      <c r="P84" s="144">
        <f t="shared" si="32"/>
        <v>24.203703703703702</v>
      </c>
      <c r="Q84" s="144">
        <f t="shared" si="32"/>
        <v>21.495495495495497</v>
      </c>
      <c r="R84" s="144">
        <f t="shared" si="32"/>
        <v>22.608695652173914</v>
      </c>
      <c r="S84" s="144">
        <f t="shared" si="32"/>
        <v>20.994854202401374</v>
      </c>
      <c r="T84" s="144">
        <f t="shared" si="32"/>
        <v>22.596153846153847</v>
      </c>
      <c r="U84" s="144">
        <f t="shared" si="32"/>
        <v>23.792544570502429</v>
      </c>
      <c r="V84" s="144">
        <f t="shared" si="32"/>
        <v>23.894927536231883</v>
      </c>
      <c r="W84" s="144">
        <f t="shared" si="32"/>
        <v>21.495327102803738</v>
      </c>
      <c r="X84" s="144">
        <f t="shared" si="32"/>
        <v>19.606440071556349</v>
      </c>
      <c r="Y84" s="144">
        <f t="shared" si="32"/>
        <v>25.398058252427184</v>
      </c>
      <c r="Z84" s="144">
        <f t="shared" si="32"/>
        <v>21.708253358925145</v>
      </c>
      <c r="AA84" s="144">
        <f t="shared" si="32"/>
        <v>22.905811623246493</v>
      </c>
      <c r="AB84" s="144">
        <f t="shared" si="32"/>
        <v>27.010309278350515</v>
      </c>
      <c r="AC84" s="144">
        <f t="shared" si="32"/>
        <v>24.702127659574469</v>
      </c>
      <c r="AD84" s="144">
        <f t="shared" si="32"/>
        <v>26.807817589576548</v>
      </c>
      <c r="AE84" s="144">
        <f t="shared" si="32"/>
        <v>29.791666666666664</v>
      </c>
      <c r="AF84" s="144">
        <f t="shared" si="32"/>
        <v>29.505882352941178</v>
      </c>
      <c r="AG84" s="144">
        <f t="shared" si="32"/>
        <v>25.906976744186046</v>
      </c>
      <c r="AH84" s="144">
        <f t="shared" si="32"/>
        <v>28.209606986899566</v>
      </c>
      <c r="AI84" s="144">
        <f t="shared" si="32"/>
        <v>29.205607476635517</v>
      </c>
      <c r="AJ84" s="144">
        <f t="shared" si="32"/>
        <v>32.297297297297298</v>
      </c>
      <c r="AK84" s="144">
        <f t="shared" si="32"/>
        <v>32.997711670480548</v>
      </c>
      <c r="AL84" s="144">
        <f t="shared" si="32"/>
        <v>35.011037527593821</v>
      </c>
      <c r="AM84" s="144">
        <f t="shared" si="32"/>
        <v>32.693208430913344</v>
      </c>
      <c r="AN84" s="147">
        <f t="shared" si="32"/>
        <v>31.108490566037737</v>
      </c>
      <c r="AO84" s="147">
        <f t="shared" si="32"/>
        <v>31.612021857923494</v>
      </c>
      <c r="AP84" s="144">
        <f t="shared" si="32"/>
        <v>31.312335958005249</v>
      </c>
      <c r="AQ84" s="144">
        <f t="shared" si="32"/>
        <v>29.793103448275861</v>
      </c>
      <c r="AR84" s="144">
        <f t="shared" si="32"/>
        <v>30.50595238095238</v>
      </c>
      <c r="AS84" s="144">
        <f t="shared" si="32"/>
        <v>31.587982832618025</v>
      </c>
      <c r="AT84" s="147">
        <f t="shared" si="32"/>
        <v>32.304526748971192</v>
      </c>
    </row>
    <row r="85" spans="1:46" x14ac:dyDescent="0.2">
      <c r="A85" s="12" t="s">
        <v>308</v>
      </c>
      <c r="B85" s="144">
        <f t="shared" ref="B85:AT85" si="33">(B119/B51)*1</f>
        <v>20.905882352941177</v>
      </c>
      <c r="C85" s="144">
        <f t="shared" si="33"/>
        <v>24.094387755102041</v>
      </c>
      <c r="D85" s="144">
        <f t="shared" si="33"/>
        <v>20.396475770925111</v>
      </c>
      <c r="E85" s="144">
        <f t="shared" si="33"/>
        <v>18.882082695252681</v>
      </c>
      <c r="F85" s="144">
        <f t="shared" si="33"/>
        <v>21.925925925925927</v>
      </c>
      <c r="G85" s="144">
        <f t="shared" si="33"/>
        <v>23.101503759398494</v>
      </c>
      <c r="H85" s="144">
        <f t="shared" si="33"/>
        <v>23.508474576271187</v>
      </c>
      <c r="I85" s="144">
        <f t="shared" si="33"/>
        <v>18.305647840531559</v>
      </c>
      <c r="J85" s="144">
        <f t="shared" si="33"/>
        <v>21.20578778135048</v>
      </c>
      <c r="K85" s="144">
        <f t="shared" si="33"/>
        <v>18.794212218649516</v>
      </c>
      <c r="L85" s="144">
        <f t="shared" si="33"/>
        <v>21</v>
      </c>
      <c r="M85" s="144">
        <f t="shared" si="33"/>
        <v>20.204865556978234</v>
      </c>
      <c r="N85" s="144">
        <f t="shared" si="33"/>
        <v>17.896774193548389</v>
      </c>
      <c r="O85" s="144">
        <f t="shared" si="33"/>
        <v>18.505025125628141</v>
      </c>
      <c r="P85" s="144">
        <f t="shared" si="33"/>
        <v>20.296896086369774</v>
      </c>
      <c r="Q85" s="144">
        <f t="shared" si="33"/>
        <v>16.403872752420472</v>
      </c>
      <c r="R85" s="144">
        <f t="shared" si="33"/>
        <v>17.83203125</v>
      </c>
      <c r="S85" s="144">
        <f t="shared" si="33"/>
        <v>16.799336650082921</v>
      </c>
      <c r="T85" s="144">
        <f t="shared" si="33"/>
        <v>19.70464135021097</v>
      </c>
      <c r="U85" s="144">
        <f t="shared" si="33"/>
        <v>19.003021148036254</v>
      </c>
      <c r="V85" s="144">
        <f t="shared" si="33"/>
        <v>20.29197080291971</v>
      </c>
      <c r="W85" s="144">
        <f t="shared" si="33"/>
        <v>20.289855072463769</v>
      </c>
      <c r="X85" s="144">
        <f t="shared" si="33"/>
        <v>18.095238095238095</v>
      </c>
      <c r="Y85" s="144">
        <f t="shared" si="33"/>
        <v>20.306603773584907</v>
      </c>
      <c r="Z85" s="144">
        <f t="shared" si="33"/>
        <v>22.105263157894736</v>
      </c>
      <c r="AA85" s="144">
        <f t="shared" si="33"/>
        <v>20.397350993377486</v>
      </c>
      <c r="AB85" s="144">
        <f t="shared" si="33"/>
        <v>23.304498269896197</v>
      </c>
      <c r="AC85" s="144">
        <f t="shared" si="33"/>
        <v>23.498871331828443</v>
      </c>
      <c r="AD85" s="144">
        <f t="shared" si="33"/>
        <v>22.600536193029491</v>
      </c>
      <c r="AE85" s="144">
        <f t="shared" si="33"/>
        <v>24.600760456273765</v>
      </c>
      <c r="AF85" s="144">
        <f t="shared" si="33"/>
        <v>23.810526315789474</v>
      </c>
      <c r="AG85" s="144">
        <f t="shared" si="33"/>
        <v>24.903100775193799</v>
      </c>
      <c r="AH85" s="144">
        <f t="shared" si="33"/>
        <v>29.795501022494889</v>
      </c>
      <c r="AI85" s="144">
        <f t="shared" si="33"/>
        <v>29.705882352941174</v>
      </c>
      <c r="AJ85" s="144">
        <f t="shared" si="33"/>
        <v>29.106753812636168</v>
      </c>
      <c r="AK85" s="144">
        <f t="shared" si="33"/>
        <v>28.397435897435898</v>
      </c>
      <c r="AL85" s="144">
        <f t="shared" si="33"/>
        <v>29.894067796610166</v>
      </c>
      <c r="AM85" s="144">
        <f t="shared" si="33"/>
        <v>31.792035398230087</v>
      </c>
      <c r="AN85" s="147">
        <f t="shared" si="33"/>
        <v>31.904761904761905</v>
      </c>
      <c r="AO85" s="147">
        <f t="shared" si="33"/>
        <v>25.39192399049881</v>
      </c>
      <c r="AP85" s="144">
        <f t="shared" si="33"/>
        <v>31.006564551422318</v>
      </c>
      <c r="AQ85" s="144">
        <f t="shared" si="33"/>
        <v>31.894977168949772</v>
      </c>
      <c r="AR85" s="144">
        <f t="shared" si="33"/>
        <v>24.19191919191919</v>
      </c>
      <c r="AS85" s="144">
        <f t="shared" si="33"/>
        <v>28.605150214592275</v>
      </c>
      <c r="AT85" s="147">
        <f t="shared" si="33"/>
        <v>30.492505353319057</v>
      </c>
    </row>
    <row r="86" spans="1:46" x14ac:dyDescent="0.2">
      <c r="A86" s="12" t="s">
        <v>321</v>
      </c>
      <c r="B86" s="144" t="s">
        <v>152</v>
      </c>
      <c r="C86" s="144" t="s">
        <v>152</v>
      </c>
      <c r="D86" s="144" t="s">
        <v>152</v>
      </c>
      <c r="E86" s="144" t="s">
        <v>152</v>
      </c>
      <c r="F86" s="144" t="s">
        <v>152</v>
      </c>
      <c r="G86" s="144" t="s">
        <v>152</v>
      </c>
      <c r="H86" s="144" t="s">
        <v>152</v>
      </c>
      <c r="I86" s="144" t="s">
        <v>152</v>
      </c>
      <c r="J86" s="144" t="s">
        <v>152</v>
      </c>
      <c r="K86" s="144" t="s">
        <v>152</v>
      </c>
      <c r="L86" s="144" t="s">
        <v>152</v>
      </c>
      <c r="M86" s="144" t="s">
        <v>152</v>
      </c>
      <c r="N86" s="144" t="s">
        <v>152</v>
      </c>
      <c r="O86" s="144" t="s">
        <v>152</v>
      </c>
      <c r="P86" s="144" t="s">
        <v>152</v>
      </c>
      <c r="Q86" s="144" t="s">
        <v>152</v>
      </c>
      <c r="R86" s="144">
        <f t="shared" ref="R86:S89" si="34">(R120/R52)*1</f>
        <v>30</v>
      </c>
      <c r="S86" s="144">
        <f t="shared" si="34"/>
        <v>30.625</v>
      </c>
      <c r="T86" s="144">
        <v>0</v>
      </c>
      <c r="U86" s="144">
        <v>0</v>
      </c>
      <c r="V86" s="144">
        <v>0</v>
      </c>
      <c r="W86" s="144">
        <v>0</v>
      </c>
      <c r="X86" s="144">
        <v>0</v>
      </c>
      <c r="Y86" s="144">
        <v>0</v>
      </c>
      <c r="Z86" s="144">
        <v>0</v>
      </c>
      <c r="AA86" s="144">
        <v>0</v>
      </c>
      <c r="AB86" s="144">
        <v>0</v>
      </c>
      <c r="AC86" s="144">
        <v>0</v>
      </c>
      <c r="AD86" s="144">
        <v>0</v>
      </c>
      <c r="AE86" s="144">
        <v>0</v>
      </c>
      <c r="AF86" s="144">
        <v>0</v>
      </c>
      <c r="AG86" s="144">
        <v>0</v>
      </c>
      <c r="AH86" s="144">
        <v>0</v>
      </c>
      <c r="AI86" s="144">
        <v>0</v>
      </c>
      <c r="AJ86" s="144">
        <v>0</v>
      </c>
      <c r="AK86" s="144">
        <v>0</v>
      </c>
      <c r="AL86" s="144">
        <v>0</v>
      </c>
      <c r="AM86" s="144">
        <v>0</v>
      </c>
      <c r="AN86" s="147">
        <v>0</v>
      </c>
      <c r="AO86" s="147">
        <v>0</v>
      </c>
      <c r="AP86" s="144">
        <v>0</v>
      </c>
      <c r="AQ86" s="144">
        <v>0</v>
      </c>
      <c r="AR86" s="144">
        <v>0</v>
      </c>
      <c r="AS86" s="144">
        <v>0</v>
      </c>
      <c r="AT86" s="147">
        <v>0</v>
      </c>
    </row>
    <row r="87" spans="1:46" x14ac:dyDescent="0.2">
      <c r="A87" s="12" t="s">
        <v>322</v>
      </c>
      <c r="B87" s="144">
        <f t="shared" ref="B87:Q87" si="35">(B121/B53)*1</f>
        <v>15.819672131147541</v>
      </c>
      <c r="C87" s="144">
        <f t="shared" si="35"/>
        <v>22.817460317460316</v>
      </c>
      <c r="D87" s="144">
        <f t="shared" si="35"/>
        <v>18.911564625850342</v>
      </c>
      <c r="E87" s="144">
        <f t="shared" si="35"/>
        <v>19.498432601880879</v>
      </c>
      <c r="F87" s="144">
        <f t="shared" si="35"/>
        <v>21.798941798941801</v>
      </c>
      <c r="G87" s="144">
        <f t="shared" si="35"/>
        <v>22.513513513513512</v>
      </c>
      <c r="H87" s="144">
        <f t="shared" si="35"/>
        <v>22.405405405405407</v>
      </c>
      <c r="I87" s="144">
        <f t="shared" si="35"/>
        <v>19.714285714285715</v>
      </c>
      <c r="J87" s="144">
        <f t="shared" si="35"/>
        <v>21.90909090909091</v>
      </c>
      <c r="K87" s="144">
        <f t="shared" si="35"/>
        <v>21.048158640226632</v>
      </c>
      <c r="L87" s="144">
        <f t="shared" si="35"/>
        <v>24.804878048780488</v>
      </c>
      <c r="M87" s="144">
        <f t="shared" si="35"/>
        <v>22</v>
      </c>
      <c r="N87" s="144">
        <f t="shared" si="35"/>
        <v>21.002506265664159</v>
      </c>
      <c r="O87" s="144">
        <f t="shared" si="35"/>
        <v>20.994897959183671</v>
      </c>
      <c r="P87" s="144">
        <f t="shared" si="35"/>
        <v>20.285714285714285</v>
      </c>
      <c r="Q87" s="144">
        <f t="shared" si="35"/>
        <v>18.186528497409327</v>
      </c>
      <c r="R87" s="144">
        <f t="shared" si="34"/>
        <v>19.206349206349206</v>
      </c>
      <c r="S87" s="144">
        <f t="shared" si="34"/>
        <v>18</v>
      </c>
      <c r="T87" s="144">
        <v>0</v>
      </c>
      <c r="U87" s="144">
        <v>0</v>
      </c>
      <c r="V87" s="144">
        <v>0</v>
      </c>
      <c r="W87" s="144">
        <v>0</v>
      </c>
      <c r="X87" s="144">
        <v>0</v>
      </c>
      <c r="Y87" s="144">
        <v>0</v>
      </c>
      <c r="Z87" s="144">
        <v>0</v>
      </c>
      <c r="AA87" s="144">
        <v>0</v>
      </c>
      <c r="AB87" s="144">
        <v>0</v>
      </c>
      <c r="AC87" s="144">
        <v>0</v>
      </c>
      <c r="AD87" s="144">
        <v>0</v>
      </c>
      <c r="AE87" s="144">
        <v>0</v>
      </c>
      <c r="AF87" s="144">
        <v>0</v>
      </c>
      <c r="AG87" s="144">
        <v>0</v>
      </c>
      <c r="AH87" s="144">
        <v>0</v>
      </c>
      <c r="AI87" s="144">
        <v>0</v>
      </c>
      <c r="AJ87" s="144">
        <v>0</v>
      </c>
      <c r="AK87" s="144">
        <v>0</v>
      </c>
      <c r="AL87" s="144">
        <v>0</v>
      </c>
      <c r="AM87" s="144">
        <v>0</v>
      </c>
      <c r="AN87" s="147">
        <v>0</v>
      </c>
      <c r="AO87" s="147">
        <v>0</v>
      </c>
      <c r="AP87" s="144">
        <v>0</v>
      </c>
      <c r="AQ87" s="144">
        <v>0</v>
      </c>
      <c r="AR87" s="144">
        <v>0</v>
      </c>
      <c r="AS87" s="144">
        <v>0</v>
      </c>
      <c r="AT87" s="147">
        <v>0</v>
      </c>
    </row>
    <row r="88" spans="1:46" x14ac:dyDescent="0.2">
      <c r="A88" s="12" t="s">
        <v>311</v>
      </c>
      <c r="B88" s="144">
        <f t="shared" ref="B88:Q88" si="36">(B122/B54)*1</f>
        <v>22.604856512141282</v>
      </c>
      <c r="C88" s="144">
        <f t="shared" si="36"/>
        <v>24.008908685968819</v>
      </c>
      <c r="D88" s="144">
        <f t="shared" si="36"/>
        <v>21.09375</v>
      </c>
      <c r="E88" s="144">
        <f t="shared" si="36"/>
        <v>19.190031152647975</v>
      </c>
      <c r="F88" s="144">
        <f t="shared" si="36"/>
        <v>20</v>
      </c>
      <c r="G88" s="144">
        <f t="shared" si="36"/>
        <v>20.890688259109311</v>
      </c>
      <c r="H88" s="144">
        <f t="shared" si="36"/>
        <v>19.801980198019802</v>
      </c>
      <c r="I88" s="144">
        <f t="shared" si="36"/>
        <v>21.104868913857679</v>
      </c>
      <c r="J88" s="144">
        <f t="shared" si="36"/>
        <v>20.303571428571427</v>
      </c>
      <c r="K88" s="144">
        <f t="shared" si="36"/>
        <v>19.207419898819563</v>
      </c>
      <c r="L88" s="144">
        <f t="shared" si="36"/>
        <v>20.501567398119125</v>
      </c>
      <c r="M88" s="144">
        <f t="shared" si="36"/>
        <v>20.602409638554214</v>
      </c>
      <c r="N88" s="144">
        <f t="shared" si="36"/>
        <v>20.795947901591898</v>
      </c>
      <c r="O88" s="144">
        <f t="shared" si="36"/>
        <v>19.704968944099377</v>
      </c>
      <c r="P88" s="144">
        <f t="shared" si="36"/>
        <v>17.993474714518761</v>
      </c>
      <c r="Q88" s="144">
        <f t="shared" si="36"/>
        <v>20.308943089430894</v>
      </c>
      <c r="R88" s="144">
        <f t="shared" si="34"/>
        <v>18.908450704225352</v>
      </c>
      <c r="S88" s="144">
        <f t="shared" si="34"/>
        <v>20.361247947454846</v>
      </c>
      <c r="T88" s="144">
        <f t="shared" ref="T88:AT88" si="37">(T122/T54)*1</f>
        <v>20.299625468164795</v>
      </c>
      <c r="U88" s="144">
        <f t="shared" si="37"/>
        <v>21.103327495621716</v>
      </c>
      <c r="V88" s="144">
        <f t="shared" si="37"/>
        <v>20.606060606060606</v>
      </c>
      <c r="W88" s="144">
        <f t="shared" si="37"/>
        <v>20.600961538461537</v>
      </c>
      <c r="X88" s="144">
        <f t="shared" si="37"/>
        <v>18.305555555555557</v>
      </c>
      <c r="Y88" s="144">
        <f t="shared" si="37"/>
        <v>22.314540059347181</v>
      </c>
      <c r="Z88" s="144">
        <f t="shared" si="37"/>
        <v>22.808988764044944</v>
      </c>
      <c r="AA88" s="144">
        <f t="shared" si="37"/>
        <v>22.31197771587744</v>
      </c>
      <c r="AB88" s="144">
        <f t="shared" si="37"/>
        <v>19.900249376558602</v>
      </c>
      <c r="AC88" s="144">
        <f t="shared" si="37"/>
        <v>21.788079470198674</v>
      </c>
      <c r="AD88" s="144">
        <f t="shared" si="37"/>
        <v>24.501845018450183</v>
      </c>
      <c r="AE88" s="144">
        <f t="shared" si="37"/>
        <v>26.484375</v>
      </c>
      <c r="AF88" s="144">
        <f t="shared" si="37"/>
        <v>27.006578947368421</v>
      </c>
      <c r="AG88" s="144">
        <f t="shared" si="37"/>
        <v>27.799352750809064</v>
      </c>
      <c r="AH88" s="144">
        <f t="shared" si="37"/>
        <v>28.594249201277954</v>
      </c>
      <c r="AI88" s="144">
        <f t="shared" si="37"/>
        <v>29.494949494949495</v>
      </c>
      <c r="AJ88" s="144">
        <f t="shared" si="37"/>
        <v>27.8</v>
      </c>
      <c r="AK88" s="144">
        <f t="shared" si="37"/>
        <v>30.096153846153847</v>
      </c>
      <c r="AL88" s="144">
        <f t="shared" si="37"/>
        <v>31.7</v>
      </c>
      <c r="AM88" s="144">
        <f t="shared" si="37"/>
        <v>28.196202531645568</v>
      </c>
      <c r="AN88" s="147">
        <f t="shared" si="37"/>
        <v>30.814332247557005</v>
      </c>
      <c r="AO88" s="147">
        <f t="shared" si="37"/>
        <v>28.291666666666668</v>
      </c>
      <c r="AP88" s="144">
        <f t="shared" si="37"/>
        <v>29.6078431372549</v>
      </c>
      <c r="AQ88" s="144">
        <f t="shared" si="37"/>
        <v>29.509803921568626</v>
      </c>
      <c r="AR88" s="144">
        <f t="shared" si="37"/>
        <v>29.103942652329749</v>
      </c>
      <c r="AS88" s="144">
        <f t="shared" si="37"/>
        <v>29.409722222222221</v>
      </c>
      <c r="AT88" s="147">
        <f t="shared" si="37"/>
        <v>30.714285714285715</v>
      </c>
    </row>
    <row r="89" spans="1:46" x14ac:dyDescent="0.2">
      <c r="A89" s="12" t="s">
        <v>301</v>
      </c>
      <c r="B89" s="144">
        <f t="shared" ref="B89:Q89" si="38">(B123/B55)*1</f>
        <v>20.068823124569853</v>
      </c>
      <c r="C89" s="144">
        <f t="shared" si="38"/>
        <v>22.947445791988244</v>
      </c>
      <c r="D89" s="144">
        <f t="shared" si="38"/>
        <v>20.078856579595861</v>
      </c>
      <c r="E89" s="144">
        <f t="shared" si="38"/>
        <v>18.729547641963425</v>
      </c>
      <c r="F89" s="144">
        <f t="shared" si="38"/>
        <v>20.976789168278529</v>
      </c>
      <c r="G89" s="144">
        <f t="shared" si="38"/>
        <v>21.379870129870127</v>
      </c>
      <c r="H89" s="144">
        <f t="shared" si="38"/>
        <v>22.216919739696312</v>
      </c>
      <c r="I89" s="144">
        <f t="shared" si="38"/>
        <v>20.515151515151512</v>
      </c>
      <c r="J89" s="144">
        <f t="shared" si="38"/>
        <v>21.328026811897782</v>
      </c>
      <c r="K89" s="144">
        <f t="shared" si="38"/>
        <v>20.088459991958178</v>
      </c>
      <c r="L89" s="144">
        <f t="shared" si="38"/>
        <v>22.148394241417499</v>
      </c>
      <c r="M89" s="144">
        <f t="shared" si="38"/>
        <v>21.709023941068139</v>
      </c>
      <c r="N89" s="144">
        <f t="shared" si="38"/>
        <v>20.86463501063076</v>
      </c>
      <c r="O89" s="144">
        <f t="shared" si="38"/>
        <v>20.40389469888208</v>
      </c>
      <c r="P89" s="144">
        <f t="shared" si="38"/>
        <v>20.836250486192142</v>
      </c>
      <c r="Q89" s="144">
        <f t="shared" si="38"/>
        <v>18.798558269923909</v>
      </c>
      <c r="R89" s="144">
        <f t="shared" si="34"/>
        <v>19.93915688830943</v>
      </c>
      <c r="S89" s="144">
        <f t="shared" si="34"/>
        <v>19.443809523809524</v>
      </c>
      <c r="T89" s="144">
        <f t="shared" ref="T89:AT89" si="39">(T123/T55)*1</f>
        <v>21.446712018140591</v>
      </c>
      <c r="U89" s="144">
        <f t="shared" si="39"/>
        <v>21.262327416173573</v>
      </c>
      <c r="V89" s="144">
        <f t="shared" si="39"/>
        <v>21.816112881201636</v>
      </c>
      <c r="W89" s="144">
        <f t="shared" si="39"/>
        <v>21.182919792267747</v>
      </c>
      <c r="X89" s="144">
        <f t="shared" si="39"/>
        <v>19.083044982698961</v>
      </c>
      <c r="Y89" s="144">
        <f t="shared" si="39"/>
        <v>23</v>
      </c>
      <c r="Z89" s="144">
        <f t="shared" si="39"/>
        <v>22.708950800237108</v>
      </c>
      <c r="AA89" s="144">
        <f t="shared" si="39"/>
        <v>22.376058041112454</v>
      </c>
      <c r="AB89" s="144">
        <f t="shared" si="39"/>
        <v>23.557483731019524</v>
      </c>
      <c r="AC89" s="144">
        <f t="shared" si="39"/>
        <v>24.05441274054413</v>
      </c>
      <c r="AD89" s="144">
        <f t="shared" si="39"/>
        <v>24.963621665319323</v>
      </c>
      <c r="AE89" s="144">
        <f t="shared" si="39"/>
        <v>26.811989100817442</v>
      </c>
      <c r="AF89" s="144">
        <f t="shared" si="39"/>
        <v>27.167902899527981</v>
      </c>
      <c r="AG89" s="144">
        <f t="shared" si="39"/>
        <v>26.504539559014265</v>
      </c>
      <c r="AH89" s="144">
        <f t="shared" si="39"/>
        <v>29.466923570969811</v>
      </c>
      <c r="AI89" s="144">
        <f t="shared" si="39"/>
        <v>30.196629213483146</v>
      </c>
      <c r="AJ89" s="144">
        <f t="shared" si="39"/>
        <v>30.22058823529412</v>
      </c>
      <c r="AK89" s="144">
        <f t="shared" si="39"/>
        <v>31.328859060402685</v>
      </c>
      <c r="AL89" s="144">
        <f t="shared" si="39"/>
        <v>32.478347768154556</v>
      </c>
      <c r="AM89" s="144">
        <f t="shared" si="39"/>
        <v>32.047138047138048</v>
      </c>
      <c r="AN89" s="147">
        <f t="shared" si="39"/>
        <v>31.555711282410655</v>
      </c>
      <c r="AO89" s="147">
        <f t="shared" si="39"/>
        <v>28.748031496062993</v>
      </c>
      <c r="AP89" s="144">
        <f t="shared" si="39"/>
        <v>30.832729905865317</v>
      </c>
      <c r="AQ89" s="144">
        <f t="shared" si="39"/>
        <v>31.031802120141343</v>
      </c>
      <c r="AR89" s="144">
        <f t="shared" si="39"/>
        <v>27.820723684210527</v>
      </c>
      <c r="AS89" s="144">
        <f t="shared" si="39"/>
        <v>29.324999999999999</v>
      </c>
      <c r="AT89" s="147">
        <f t="shared" si="39"/>
        <v>31.197126895450918</v>
      </c>
    </row>
    <row r="90" spans="1:46" x14ac:dyDescent="0.2">
      <c r="A90" s="12"/>
      <c r="B90" s="144"/>
      <c r="C90" s="144"/>
      <c r="D90" s="144"/>
      <c r="E90" s="144"/>
      <c r="F90" s="144"/>
      <c r="G90" s="144"/>
      <c r="H90" s="144"/>
      <c r="I90" s="144"/>
      <c r="J90" s="144"/>
      <c r="K90" s="144"/>
      <c r="L90" s="144"/>
      <c r="M90" s="144"/>
      <c r="N90" s="144"/>
      <c r="O90" s="144"/>
      <c r="P90" s="144"/>
      <c r="Q90" s="144"/>
      <c r="R90" s="144"/>
      <c r="S90" s="144"/>
      <c r="T90" s="144"/>
      <c r="U90" s="144"/>
      <c r="V90" s="147"/>
      <c r="W90" s="147"/>
      <c r="X90" s="147"/>
      <c r="Y90" s="147"/>
      <c r="Z90" s="147"/>
      <c r="AA90" s="147"/>
      <c r="AB90" s="147"/>
      <c r="AC90" s="147"/>
      <c r="AD90" s="147"/>
      <c r="AE90" s="147"/>
      <c r="AF90" s="147"/>
      <c r="AG90" s="147"/>
      <c r="AH90" s="147"/>
      <c r="AI90" s="147"/>
      <c r="AJ90" s="147"/>
      <c r="AK90" s="147"/>
      <c r="AL90" s="147"/>
      <c r="AM90" s="147"/>
      <c r="AN90" s="147"/>
      <c r="AO90" s="147"/>
      <c r="AP90" s="147"/>
      <c r="AQ90" s="147"/>
      <c r="AR90" s="147"/>
      <c r="AS90" s="147"/>
      <c r="AT90" s="147"/>
    </row>
    <row r="91" spans="1:46" x14ac:dyDescent="0.2">
      <c r="A91" s="12" t="s">
        <v>312</v>
      </c>
      <c r="B91" s="144"/>
      <c r="C91" s="144"/>
      <c r="D91" s="144"/>
      <c r="E91" s="144"/>
      <c r="F91" s="144"/>
      <c r="G91" s="144"/>
      <c r="H91" s="144"/>
      <c r="I91" s="144"/>
      <c r="J91" s="144"/>
      <c r="K91" s="144"/>
      <c r="L91" s="144"/>
      <c r="M91" s="144"/>
      <c r="N91" s="144"/>
      <c r="O91" s="144"/>
      <c r="P91" s="144"/>
      <c r="Q91" s="144"/>
      <c r="R91" s="144"/>
      <c r="S91" s="144"/>
      <c r="T91" s="144"/>
      <c r="U91" s="144"/>
      <c r="V91" s="147"/>
      <c r="W91" s="147"/>
      <c r="X91" s="147"/>
      <c r="Y91" s="147"/>
      <c r="Z91" s="147"/>
      <c r="AA91" s="147"/>
      <c r="AB91" s="147"/>
      <c r="AC91" s="147"/>
      <c r="AD91" s="147"/>
      <c r="AE91" s="147"/>
      <c r="AF91" s="147"/>
      <c r="AG91" s="147"/>
      <c r="AH91" s="147"/>
      <c r="AI91" s="147"/>
      <c r="AJ91" s="147"/>
      <c r="AK91" s="147"/>
      <c r="AL91" s="147"/>
      <c r="AM91" s="147"/>
      <c r="AN91" s="147"/>
      <c r="AO91" s="147"/>
      <c r="AP91" s="147"/>
      <c r="AQ91" s="147"/>
      <c r="AR91" s="147"/>
      <c r="AS91" s="147"/>
      <c r="AT91" s="147"/>
    </row>
    <row r="92" spans="1:46" x14ac:dyDescent="0.2">
      <c r="A92" s="12" t="s">
        <v>313</v>
      </c>
      <c r="B92" s="144">
        <f t="shared" ref="B92:AT92" si="40">(B126/B58)*1</f>
        <v>25.698689956331879</v>
      </c>
      <c r="C92" s="144">
        <f t="shared" si="40"/>
        <v>27.9</v>
      </c>
      <c r="D92" s="144">
        <f t="shared" si="40"/>
        <v>23.777777777777779</v>
      </c>
      <c r="E92" s="144">
        <f t="shared" si="40"/>
        <v>23.301775147928993</v>
      </c>
      <c r="F92" s="144">
        <f t="shared" si="40"/>
        <v>24.699029126213592</v>
      </c>
      <c r="G92" s="144">
        <f t="shared" si="40"/>
        <v>23</v>
      </c>
      <c r="H92" s="144">
        <f t="shared" si="40"/>
        <v>25.702127659574469</v>
      </c>
      <c r="I92" s="144">
        <f t="shared" si="40"/>
        <v>28.199074074074073</v>
      </c>
      <c r="J92" s="144">
        <f t="shared" si="40"/>
        <v>25</v>
      </c>
      <c r="K92" s="144">
        <f t="shared" si="40"/>
        <v>27.301775147928993</v>
      </c>
      <c r="L92" s="144">
        <f t="shared" si="40"/>
        <v>25.797619047619047</v>
      </c>
      <c r="M92" s="144">
        <f t="shared" si="40"/>
        <v>25.5</v>
      </c>
      <c r="N92" s="144">
        <f t="shared" si="40"/>
        <v>28.2</v>
      </c>
      <c r="O92" s="144">
        <f t="shared" si="40"/>
        <v>26</v>
      </c>
      <c r="P92" s="144">
        <f t="shared" si="40"/>
        <v>28</v>
      </c>
      <c r="Q92" s="144">
        <f t="shared" si="40"/>
        <v>28</v>
      </c>
      <c r="R92" s="144">
        <f t="shared" si="40"/>
        <v>29.5</v>
      </c>
      <c r="S92" s="144">
        <f t="shared" si="40"/>
        <v>30</v>
      </c>
      <c r="T92" s="144">
        <f t="shared" si="40"/>
        <v>27.505050505050505</v>
      </c>
      <c r="U92" s="144">
        <f t="shared" si="40"/>
        <v>32</v>
      </c>
      <c r="V92" s="144">
        <f t="shared" si="40"/>
        <v>34</v>
      </c>
      <c r="W92" s="144">
        <f t="shared" si="40"/>
        <v>35.70469798657718</v>
      </c>
      <c r="X92" s="144">
        <f t="shared" si="40"/>
        <v>39.595959595959599</v>
      </c>
      <c r="Y92" s="144">
        <f t="shared" si="40"/>
        <v>39.101796407185624</v>
      </c>
      <c r="Z92" s="144">
        <f t="shared" si="40"/>
        <v>40.79754601226994</v>
      </c>
      <c r="AA92" s="144">
        <f t="shared" si="40"/>
        <v>37.09750566893424</v>
      </c>
      <c r="AB92" s="144">
        <f t="shared" si="40"/>
        <v>36.10208816705336</v>
      </c>
      <c r="AC92" s="144">
        <f t="shared" si="40"/>
        <v>35.498721227621481</v>
      </c>
      <c r="AD92" s="144">
        <f t="shared" si="40"/>
        <v>41.581027667984188</v>
      </c>
      <c r="AE92" s="144">
        <f t="shared" si="40"/>
        <v>43.888888888888893</v>
      </c>
      <c r="AF92" s="144">
        <f t="shared" si="40"/>
        <v>44.588235294117645</v>
      </c>
      <c r="AG92" s="144">
        <f t="shared" si="40"/>
        <v>46.507936507936506</v>
      </c>
      <c r="AH92" s="144">
        <f t="shared" si="40"/>
        <v>43.688524590163937</v>
      </c>
      <c r="AI92" s="144">
        <f t="shared" si="40"/>
        <v>43.415637860082306</v>
      </c>
      <c r="AJ92" s="144">
        <f t="shared" si="40"/>
        <v>42.62222222222222</v>
      </c>
      <c r="AK92" s="144">
        <f t="shared" si="40"/>
        <v>44.696356275303643</v>
      </c>
      <c r="AL92" s="144">
        <f t="shared" si="40"/>
        <v>45.11904761904762</v>
      </c>
      <c r="AM92" s="144">
        <f t="shared" si="40"/>
        <v>43.688524590163937</v>
      </c>
      <c r="AN92" s="147">
        <f t="shared" si="40"/>
        <v>48.780487804878049</v>
      </c>
      <c r="AO92" s="147">
        <f t="shared" si="40"/>
        <v>45.409836065573771</v>
      </c>
      <c r="AP92" s="144">
        <f t="shared" si="40"/>
        <v>46.581196581196586</v>
      </c>
      <c r="AQ92" s="144">
        <f t="shared" si="40"/>
        <v>45.400843881856538</v>
      </c>
      <c r="AR92" s="144">
        <f t="shared" si="40"/>
        <v>48.777777777777779</v>
      </c>
      <c r="AS92" s="144">
        <f t="shared" si="40"/>
        <v>49.603524229074893</v>
      </c>
      <c r="AT92" s="147">
        <f t="shared" si="40"/>
        <v>47.214285714285715</v>
      </c>
    </row>
    <row r="93" spans="1:46" x14ac:dyDescent="0.2">
      <c r="A93" s="12" t="s">
        <v>314</v>
      </c>
      <c r="B93" s="144">
        <f t="shared" ref="B93:AT93" si="41">(B127/B59)*1</f>
        <v>23.901377810007251</v>
      </c>
      <c r="C93" s="144">
        <f t="shared" si="41"/>
        <v>25.997229916897506</v>
      </c>
      <c r="D93" s="144">
        <f t="shared" si="41"/>
        <v>23.397058823529413</v>
      </c>
      <c r="E93" s="144">
        <f t="shared" si="41"/>
        <v>24.384615384615383</v>
      </c>
      <c r="F93" s="144">
        <f t="shared" si="41"/>
        <v>23</v>
      </c>
      <c r="G93" s="144">
        <f t="shared" si="41"/>
        <v>23</v>
      </c>
      <c r="H93" s="144">
        <f t="shared" si="41"/>
        <v>25.7</v>
      </c>
      <c r="I93" s="144">
        <f t="shared" si="41"/>
        <v>26.401234567901234</v>
      </c>
      <c r="J93" s="144">
        <f t="shared" si="41"/>
        <v>24.602409638554217</v>
      </c>
      <c r="K93" s="144">
        <f t="shared" si="41"/>
        <v>22.8135593220339</v>
      </c>
      <c r="L93" s="144">
        <f t="shared" si="41"/>
        <v>26</v>
      </c>
      <c r="M93" s="144">
        <f t="shared" si="41"/>
        <v>26</v>
      </c>
      <c r="N93" s="144">
        <f t="shared" si="41"/>
        <v>24.5</v>
      </c>
      <c r="O93" s="144">
        <f t="shared" si="41"/>
        <v>23.200980392156861</v>
      </c>
      <c r="P93" s="144">
        <f t="shared" si="41"/>
        <v>27.900497512437809</v>
      </c>
      <c r="Q93" s="144">
        <f t="shared" si="41"/>
        <v>24</v>
      </c>
      <c r="R93" s="144">
        <f t="shared" si="41"/>
        <v>24.798913043478262</v>
      </c>
      <c r="S93" s="144">
        <f t="shared" si="41"/>
        <v>26.446700507614214</v>
      </c>
      <c r="T93" s="144">
        <f t="shared" si="41"/>
        <v>27.098522167487683</v>
      </c>
      <c r="U93" s="144">
        <f t="shared" si="41"/>
        <v>24.3</v>
      </c>
      <c r="V93" s="144">
        <f t="shared" si="41"/>
        <v>29.298429319371728</v>
      </c>
      <c r="W93" s="144">
        <f t="shared" si="41"/>
        <v>25.899441340782122</v>
      </c>
      <c r="X93" s="144">
        <f t="shared" si="41"/>
        <v>24.3</v>
      </c>
      <c r="Y93" s="144">
        <f t="shared" si="41"/>
        <v>29.198067632850243</v>
      </c>
      <c r="Z93" s="144">
        <f t="shared" si="41"/>
        <v>28.697916666666668</v>
      </c>
      <c r="AA93" s="144">
        <f t="shared" si="41"/>
        <v>27.101796407185628</v>
      </c>
      <c r="AB93" s="144">
        <f t="shared" si="41"/>
        <v>31.700534759358288</v>
      </c>
      <c r="AC93" s="144">
        <f t="shared" si="41"/>
        <v>34.401197604790418</v>
      </c>
      <c r="AD93" s="144">
        <f t="shared" si="41"/>
        <v>31.198275862068964</v>
      </c>
      <c r="AE93" s="144">
        <f t="shared" si="41"/>
        <v>34.300613496932513</v>
      </c>
      <c r="AF93" s="144">
        <f t="shared" si="41"/>
        <v>31</v>
      </c>
      <c r="AG93" s="144">
        <f t="shared" si="41"/>
        <v>34.397727272727273</v>
      </c>
      <c r="AH93" s="144">
        <f t="shared" si="41"/>
        <v>35.302197802197803</v>
      </c>
      <c r="AI93" s="144">
        <f t="shared" si="41"/>
        <v>36.201149425287355</v>
      </c>
      <c r="AJ93" s="144">
        <f t="shared" si="41"/>
        <v>37.301775147928993</v>
      </c>
      <c r="AK93" s="144">
        <f t="shared" si="41"/>
        <v>38.302325581395351</v>
      </c>
      <c r="AL93" s="144">
        <f t="shared" si="41"/>
        <v>41.4</v>
      </c>
      <c r="AM93" s="144">
        <f t="shared" si="41"/>
        <v>39.19879518072289</v>
      </c>
      <c r="AN93" s="147">
        <f t="shared" si="41"/>
        <v>40.503144654088054</v>
      </c>
      <c r="AO93" s="147">
        <f t="shared" si="41"/>
        <v>39</v>
      </c>
      <c r="AP93" s="144">
        <f t="shared" si="41"/>
        <v>40.5</v>
      </c>
      <c r="AQ93" s="144">
        <f t="shared" si="41"/>
        <v>39.502923976608187</v>
      </c>
      <c r="AR93" s="144">
        <f t="shared" si="41"/>
        <v>38.1</v>
      </c>
      <c r="AS93" s="144">
        <f t="shared" si="41"/>
        <v>40</v>
      </c>
      <c r="AT93" s="147">
        <f t="shared" si="41"/>
        <v>40</v>
      </c>
    </row>
    <row r="94" spans="1:46" x14ac:dyDescent="0.2">
      <c r="A94" s="12" t="s">
        <v>315</v>
      </c>
      <c r="B94" s="144">
        <f t="shared" ref="B94:AT94" si="42">(B128/B60)*1</f>
        <v>27.361111111111111</v>
      </c>
      <c r="C94" s="144">
        <f t="shared" si="42"/>
        <v>28.037383177570096</v>
      </c>
      <c r="D94" s="144">
        <f t="shared" si="42"/>
        <v>24.368932038834949</v>
      </c>
      <c r="E94" s="144">
        <f t="shared" si="42"/>
        <v>27.964601769911503</v>
      </c>
      <c r="F94" s="144">
        <f t="shared" si="42"/>
        <v>26.46551724137931</v>
      </c>
      <c r="G94" s="144">
        <f t="shared" si="42"/>
        <v>27.033898305084744</v>
      </c>
      <c r="H94" s="144">
        <f t="shared" si="42"/>
        <v>28.992248062015502</v>
      </c>
      <c r="I94" s="144">
        <f t="shared" si="42"/>
        <v>30.802919708029197</v>
      </c>
      <c r="J94" s="144">
        <f t="shared" si="42"/>
        <v>26.666666666666668</v>
      </c>
      <c r="K94" s="144">
        <f t="shared" si="42"/>
        <v>25.723684210526319</v>
      </c>
      <c r="L94" s="144">
        <f t="shared" si="42"/>
        <v>29.221556886227546</v>
      </c>
      <c r="M94" s="144">
        <f t="shared" si="42"/>
        <v>28.2258064516129</v>
      </c>
      <c r="N94" s="144">
        <f t="shared" si="42"/>
        <v>22.77456647398844</v>
      </c>
      <c r="O94" s="144">
        <f t="shared" si="42"/>
        <v>24.473684210526319</v>
      </c>
      <c r="P94" s="144">
        <f t="shared" si="42"/>
        <v>27.804878048780491</v>
      </c>
      <c r="Q94" s="144">
        <f t="shared" si="42"/>
        <v>22.696629213483146</v>
      </c>
      <c r="R94" s="144">
        <f t="shared" si="42"/>
        <v>25.521472392638035</v>
      </c>
      <c r="S94" s="144">
        <f t="shared" si="42"/>
        <v>28.390804597701152</v>
      </c>
      <c r="T94" s="144">
        <f t="shared" si="42"/>
        <v>26.610169491525426</v>
      </c>
      <c r="U94" s="144">
        <f t="shared" si="42"/>
        <v>25.076142131979697</v>
      </c>
      <c r="V94" s="144">
        <f t="shared" si="42"/>
        <v>30.07299270072993</v>
      </c>
      <c r="W94" s="144">
        <f t="shared" si="42"/>
        <v>29.896907216494849</v>
      </c>
      <c r="X94" s="144">
        <f t="shared" si="42"/>
        <v>27.363636363636363</v>
      </c>
      <c r="Y94" s="144">
        <f t="shared" si="42"/>
        <v>30.714285714285712</v>
      </c>
      <c r="Z94" s="144">
        <f t="shared" si="42"/>
        <v>31.428571428571431</v>
      </c>
      <c r="AA94" s="144">
        <f t="shared" si="42"/>
        <v>32.061855670103093</v>
      </c>
      <c r="AB94" s="144">
        <f t="shared" si="42"/>
        <v>30.076335877862597</v>
      </c>
      <c r="AC94" s="144">
        <f t="shared" si="42"/>
        <v>31.90909090909091</v>
      </c>
      <c r="AD94" s="144">
        <f t="shared" si="42"/>
        <v>33.050847457627114</v>
      </c>
      <c r="AE94" s="144">
        <f t="shared" si="42"/>
        <v>37.61904761904762</v>
      </c>
      <c r="AF94" s="144">
        <f t="shared" si="42"/>
        <v>36.310679611650485</v>
      </c>
      <c r="AG94" s="144">
        <f t="shared" si="42"/>
        <v>35.833333333333329</v>
      </c>
      <c r="AH94" s="144">
        <f t="shared" si="42"/>
        <v>38</v>
      </c>
      <c r="AI94" s="144">
        <f t="shared" si="42"/>
        <v>38.387096774193544</v>
      </c>
      <c r="AJ94" s="144">
        <f t="shared" si="42"/>
        <v>34.444444444444443</v>
      </c>
      <c r="AK94" s="144">
        <f t="shared" si="42"/>
        <v>38.571428571428569</v>
      </c>
      <c r="AL94" s="144">
        <f t="shared" si="42"/>
        <v>41.96078431372549</v>
      </c>
      <c r="AM94" s="144">
        <f t="shared" si="42"/>
        <v>36.703296703296708</v>
      </c>
      <c r="AN94" s="147">
        <f t="shared" si="42"/>
        <v>39.354838709677416</v>
      </c>
      <c r="AO94" s="147">
        <f t="shared" si="42"/>
        <v>38.469387755102041</v>
      </c>
      <c r="AP94" s="144">
        <f t="shared" si="42"/>
        <v>40.851063829787229</v>
      </c>
      <c r="AQ94" s="144">
        <f t="shared" si="42"/>
        <v>37.884615384615387</v>
      </c>
      <c r="AR94" s="144">
        <f t="shared" si="42"/>
        <v>33.924050632911388</v>
      </c>
      <c r="AS94" s="144">
        <f t="shared" si="42"/>
        <v>36.442307692307693</v>
      </c>
      <c r="AT94" s="147">
        <f t="shared" si="42"/>
        <v>40.96153846153846</v>
      </c>
    </row>
    <row r="95" spans="1:46" x14ac:dyDescent="0.2">
      <c r="A95" s="12" t="s">
        <v>323</v>
      </c>
      <c r="B95" s="144" t="s">
        <v>152</v>
      </c>
      <c r="C95" s="144" t="s">
        <v>152</v>
      </c>
      <c r="D95" s="144" t="s">
        <v>152</v>
      </c>
      <c r="E95" s="144" t="s">
        <v>152</v>
      </c>
      <c r="F95" s="144" t="s">
        <v>152</v>
      </c>
      <c r="G95" s="144" t="s">
        <v>152</v>
      </c>
      <c r="H95" s="144" t="s">
        <v>152</v>
      </c>
      <c r="I95" s="144" t="s">
        <v>152</v>
      </c>
      <c r="J95" s="144" t="s">
        <v>152</v>
      </c>
      <c r="K95" s="144" t="s">
        <v>152</v>
      </c>
      <c r="L95" s="144" t="s">
        <v>152</v>
      </c>
      <c r="M95" s="144" t="s">
        <v>152</v>
      </c>
      <c r="N95" s="144" t="s">
        <v>152</v>
      </c>
      <c r="O95" s="144" t="s">
        <v>152</v>
      </c>
      <c r="P95" s="144" t="s">
        <v>152</v>
      </c>
      <c r="Q95" s="144" t="s">
        <v>152</v>
      </c>
      <c r="R95" s="144">
        <f t="shared" ref="R95:AD95" si="43">(R129/R61)*1</f>
        <v>35.46153846153846</v>
      </c>
      <c r="S95" s="144">
        <f t="shared" si="43"/>
        <v>33.055555555555557</v>
      </c>
      <c r="T95" s="144">
        <f t="shared" si="43"/>
        <v>33.296089385474865</v>
      </c>
      <c r="U95" s="144">
        <f t="shared" si="43"/>
        <v>30.109489051094894</v>
      </c>
      <c r="V95" s="144">
        <f t="shared" si="43"/>
        <v>29.413919413919412</v>
      </c>
      <c r="W95" s="144">
        <f t="shared" si="43"/>
        <v>35.633802816901408</v>
      </c>
      <c r="X95" s="144">
        <f t="shared" si="43"/>
        <v>35</v>
      </c>
      <c r="Y95" s="144">
        <f t="shared" si="43"/>
        <v>40.25</v>
      </c>
      <c r="Z95" s="144">
        <f t="shared" si="43"/>
        <v>37.894736842105267</v>
      </c>
      <c r="AA95" s="144">
        <f t="shared" si="43"/>
        <v>40.588235294117645</v>
      </c>
      <c r="AB95" s="144">
        <f t="shared" si="43"/>
        <v>37</v>
      </c>
      <c r="AC95" s="144">
        <f t="shared" si="43"/>
        <v>42</v>
      </c>
      <c r="AD95" s="144">
        <f t="shared" si="43"/>
        <v>41.875</v>
      </c>
      <c r="AE95" s="146" t="s">
        <v>152</v>
      </c>
      <c r="AF95" s="146" t="s">
        <v>152</v>
      </c>
      <c r="AG95" s="146" t="s">
        <v>152</v>
      </c>
      <c r="AH95" s="146" t="s">
        <v>152</v>
      </c>
      <c r="AI95" s="146" t="s">
        <v>152</v>
      </c>
      <c r="AJ95" s="146" t="s">
        <v>152</v>
      </c>
      <c r="AK95" s="146" t="s">
        <v>152</v>
      </c>
      <c r="AL95" s="144">
        <f t="shared" ref="AL95:AR96" si="44">(AL129/AL61)*1</f>
        <v>47.894736842105267</v>
      </c>
      <c r="AM95" s="144">
        <f t="shared" si="44"/>
        <v>48.333333333333329</v>
      </c>
      <c r="AN95" s="147">
        <f t="shared" si="44"/>
        <v>48.333333333333329</v>
      </c>
      <c r="AO95" s="147">
        <f t="shared" si="44"/>
        <v>45.416666666666671</v>
      </c>
      <c r="AP95" s="144">
        <f t="shared" si="44"/>
        <v>47.894736842105267</v>
      </c>
      <c r="AQ95" s="147">
        <f t="shared" si="44"/>
        <v>45.789473684210527</v>
      </c>
      <c r="AR95" s="147">
        <f t="shared" si="44"/>
        <v>44</v>
      </c>
      <c r="AS95" s="147">
        <v>49.7</v>
      </c>
      <c r="AT95" s="147">
        <v>48.8</v>
      </c>
    </row>
    <row r="96" spans="1:46" x14ac:dyDescent="0.2">
      <c r="A96" s="12" t="s">
        <v>301</v>
      </c>
      <c r="B96" s="144">
        <f t="shared" ref="B96:Q96" si="45">(B130/B62)*1</f>
        <v>25.068163592622295</v>
      </c>
      <c r="C96" s="144">
        <f t="shared" si="45"/>
        <v>27.241628523247414</v>
      </c>
      <c r="D96" s="144">
        <f t="shared" si="45"/>
        <v>23.629581576386634</v>
      </c>
      <c r="E96" s="144">
        <f t="shared" si="45"/>
        <v>23.943705536653262</v>
      </c>
      <c r="F96" s="144">
        <f t="shared" si="45"/>
        <v>24.079092920353983</v>
      </c>
      <c r="G96" s="144">
        <f t="shared" si="45"/>
        <v>23.12977099236641</v>
      </c>
      <c r="H96" s="144">
        <f t="shared" si="45"/>
        <v>25.818786367414798</v>
      </c>
      <c r="I96" s="144">
        <f t="shared" si="45"/>
        <v>27.546591779423029</v>
      </c>
      <c r="J96" s="144">
        <f t="shared" si="45"/>
        <v>24.891609283346085</v>
      </c>
      <c r="K96" s="144">
        <f t="shared" si="45"/>
        <v>25.035991140642306</v>
      </c>
      <c r="L96" s="144">
        <f t="shared" si="45"/>
        <v>26.053412462908014</v>
      </c>
      <c r="M96" s="144">
        <f t="shared" si="45"/>
        <v>25.898815931108718</v>
      </c>
      <c r="N96" s="144">
        <f t="shared" si="45"/>
        <v>25.929757691260548</v>
      </c>
      <c r="O96" s="144">
        <f t="shared" si="45"/>
        <v>24.32713963963964</v>
      </c>
      <c r="P96" s="144">
        <f t="shared" si="45"/>
        <v>27.935267857142858</v>
      </c>
      <c r="Q96" s="144">
        <f t="shared" si="45"/>
        <v>25.316301703163017</v>
      </c>
      <c r="R96" s="144">
        <f t="shared" ref="R96:AD96" si="46">(R130/R62)*1</f>
        <v>26.613613274635963</v>
      </c>
      <c r="S96" s="144">
        <f t="shared" si="46"/>
        <v>27.969221484610745</v>
      </c>
      <c r="T96" s="144">
        <f t="shared" si="46"/>
        <v>27.81153305203938</v>
      </c>
      <c r="U96" s="144">
        <f t="shared" si="46"/>
        <v>27.055601205149276</v>
      </c>
      <c r="V96" s="144">
        <f t="shared" si="46"/>
        <v>30.681047765793529</v>
      </c>
      <c r="W96" s="144">
        <f t="shared" si="46"/>
        <v>28.170478170478173</v>
      </c>
      <c r="X96" s="144">
        <f t="shared" si="46"/>
        <v>27.336976320582878</v>
      </c>
      <c r="Y96" s="144">
        <f t="shared" si="46"/>
        <v>31.247692875599849</v>
      </c>
      <c r="Z96" s="144">
        <f t="shared" si="46"/>
        <v>31.267003497862415</v>
      </c>
      <c r="AA96" s="144">
        <f t="shared" si="46"/>
        <v>29.402247191011238</v>
      </c>
      <c r="AB96" s="144">
        <f t="shared" si="46"/>
        <v>32.430668841761829</v>
      </c>
      <c r="AC96" s="144">
        <f t="shared" si="46"/>
        <v>34.541305340027385</v>
      </c>
      <c r="AD96" s="144">
        <f t="shared" si="46"/>
        <v>33.151881720430104</v>
      </c>
      <c r="AE96" s="144">
        <f t="shared" ref="AE96:AK96" si="47">(AE130/AE62)*1</f>
        <v>35.691997986914949</v>
      </c>
      <c r="AF96" s="144">
        <f t="shared" si="47"/>
        <v>32.949465500485907</v>
      </c>
      <c r="AG96" s="144">
        <f t="shared" si="47"/>
        <v>35.910377358490564</v>
      </c>
      <c r="AH96" s="144">
        <f t="shared" si="47"/>
        <v>36.379944802207909</v>
      </c>
      <c r="AI96" s="144">
        <f t="shared" si="47"/>
        <v>37.143545279383424</v>
      </c>
      <c r="AJ96" s="144">
        <f t="shared" si="47"/>
        <v>37.8007045797685</v>
      </c>
      <c r="AK96" s="144">
        <f t="shared" si="47"/>
        <v>39.085127201565562</v>
      </c>
      <c r="AL96" s="144">
        <f t="shared" si="44"/>
        <v>41.939218523878438</v>
      </c>
      <c r="AM96" s="144">
        <f t="shared" si="44"/>
        <v>39.711872826626923</v>
      </c>
      <c r="AN96" s="147">
        <f t="shared" si="44"/>
        <v>41.56651258346173</v>
      </c>
      <c r="AO96" s="147">
        <f t="shared" si="44"/>
        <v>39.822309970384993</v>
      </c>
      <c r="AP96" s="144">
        <f t="shared" si="44"/>
        <v>41.287617168228905</v>
      </c>
      <c r="AQ96" s="144">
        <f t="shared" si="44"/>
        <v>40.154589371980677</v>
      </c>
      <c r="AR96" s="144">
        <f t="shared" si="44"/>
        <v>38.964123294593229</v>
      </c>
      <c r="AS96" s="144">
        <f>(AS130/AS62)*1</f>
        <v>40.953743443013835</v>
      </c>
      <c r="AT96" s="147">
        <f>(AT130/AT62)*1</f>
        <v>41.077788191190251</v>
      </c>
    </row>
    <row r="97" spans="1:47" x14ac:dyDescent="0.2">
      <c r="A97" s="12"/>
      <c r="B97" s="144"/>
      <c r="C97" s="144"/>
      <c r="D97" s="144"/>
      <c r="E97" s="144"/>
      <c r="F97" s="144"/>
      <c r="G97" s="144"/>
      <c r="H97" s="144"/>
      <c r="I97" s="144"/>
      <c r="J97" s="144"/>
      <c r="K97" s="144"/>
      <c r="L97" s="144"/>
      <c r="M97" s="144"/>
      <c r="N97" s="144"/>
      <c r="O97" s="144"/>
      <c r="P97" s="144"/>
      <c r="Q97" s="144"/>
      <c r="R97" s="144"/>
      <c r="S97" s="144"/>
      <c r="T97" s="144"/>
      <c r="U97" s="144"/>
      <c r="V97" s="147"/>
      <c r="W97" s="147"/>
      <c r="X97" s="147"/>
      <c r="Y97" s="147"/>
      <c r="Z97" s="147"/>
      <c r="AA97" s="147"/>
      <c r="AB97" s="147"/>
      <c r="AC97" s="147"/>
      <c r="AD97" s="147"/>
      <c r="AE97" s="147"/>
      <c r="AF97" s="147"/>
      <c r="AG97" s="147"/>
      <c r="AH97" s="147"/>
      <c r="AI97" s="147"/>
      <c r="AJ97" s="147"/>
      <c r="AK97" s="147"/>
      <c r="AL97" s="147"/>
      <c r="AM97" s="147"/>
      <c r="AN97" s="147"/>
      <c r="AO97" s="147"/>
      <c r="AP97" s="147"/>
      <c r="AQ97" s="147"/>
      <c r="AR97" s="147"/>
      <c r="AS97" s="147"/>
      <c r="AT97" s="147"/>
    </row>
    <row r="98" spans="1:47" x14ac:dyDescent="0.2">
      <c r="A98" s="12" t="s">
        <v>317</v>
      </c>
      <c r="B98" s="144">
        <v>10</v>
      </c>
      <c r="C98" s="144">
        <v>10</v>
      </c>
      <c r="D98" s="144">
        <v>10</v>
      </c>
      <c r="E98" s="144">
        <v>10</v>
      </c>
      <c r="F98" s="144">
        <v>10</v>
      </c>
      <c r="G98" s="144" t="s">
        <v>152</v>
      </c>
      <c r="H98" s="144" t="s">
        <v>152</v>
      </c>
      <c r="I98" s="144">
        <v>10</v>
      </c>
      <c r="J98" s="144">
        <v>12.9</v>
      </c>
      <c r="K98" s="144">
        <v>27.5</v>
      </c>
      <c r="L98" s="144">
        <f t="shared" ref="L98:Q98" si="48">(L132/L64)*1</f>
        <v>29.545454545454543</v>
      </c>
      <c r="M98" s="144">
        <f t="shared" si="48"/>
        <v>35</v>
      </c>
      <c r="N98" s="144">
        <f t="shared" si="48"/>
        <v>40</v>
      </c>
      <c r="O98" s="144">
        <f t="shared" si="48"/>
        <v>41.2</v>
      </c>
      <c r="P98" s="144">
        <f t="shared" si="48"/>
        <v>37.666666666666664</v>
      </c>
      <c r="Q98" s="144">
        <f t="shared" si="48"/>
        <v>34.326241134751776</v>
      </c>
      <c r="R98" s="144">
        <v>0</v>
      </c>
      <c r="S98" s="144">
        <v>0</v>
      </c>
      <c r="T98" s="144">
        <v>0</v>
      </c>
      <c r="U98" s="144">
        <v>0</v>
      </c>
      <c r="V98" s="144">
        <v>0</v>
      </c>
      <c r="W98" s="144">
        <v>0</v>
      </c>
      <c r="X98" s="144">
        <v>0</v>
      </c>
      <c r="Y98" s="144">
        <v>0</v>
      </c>
      <c r="Z98" s="144">
        <v>0</v>
      </c>
      <c r="AA98" s="144">
        <v>0</v>
      </c>
      <c r="AB98" s="144">
        <v>0</v>
      </c>
      <c r="AC98" s="144">
        <v>0</v>
      </c>
      <c r="AD98" s="144">
        <v>0</v>
      </c>
      <c r="AE98" s="144">
        <v>0</v>
      </c>
      <c r="AF98" s="144">
        <v>0</v>
      </c>
      <c r="AG98" s="144">
        <v>0</v>
      </c>
      <c r="AH98" s="144">
        <v>0</v>
      </c>
      <c r="AI98" s="144">
        <v>0</v>
      </c>
      <c r="AJ98" s="144">
        <v>0</v>
      </c>
      <c r="AK98" s="144">
        <v>0</v>
      </c>
      <c r="AL98" s="144">
        <v>0</v>
      </c>
      <c r="AM98" s="144">
        <v>0</v>
      </c>
      <c r="AN98" s="147">
        <v>0</v>
      </c>
      <c r="AO98" s="147">
        <v>0</v>
      </c>
      <c r="AP98" s="144">
        <v>0</v>
      </c>
      <c r="AQ98" s="144">
        <v>0</v>
      </c>
      <c r="AR98" s="144">
        <v>0</v>
      </c>
      <c r="AS98" s="144">
        <v>0</v>
      </c>
      <c r="AT98" s="147">
        <v>1</v>
      </c>
    </row>
    <row r="99" spans="1:47" x14ac:dyDescent="0.2">
      <c r="A99" s="12"/>
      <c r="B99" s="144"/>
      <c r="C99" s="144"/>
      <c r="D99" s="144"/>
      <c r="E99" s="144"/>
      <c r="F99" s="144"/>
      <c r="G99" s="144"/>
      <c r="H99" s="144"/>
      <c r="I99" s="144"/>
      <c r="J99" s="144"/>
      <c r="K99" s="144"/>
      <c r="L99" s="144"/>
      <c r="M99" s="144"/>
      <c r="N99" s="144"/>
      <c r="O99" s="144"/>
      <c r="P99" s="144"/>
      <c r="Q99" s="144"/>
      <c r="R99" s="144"/>
      <c r="S99" s="144"/>
      <c r="T99" s="144"/>
      <c r="U99" s="144"/>
      <c r="V99" s="147"/>
      <c r="W99" s="147"/>
      <c r="X99" s="147"/>
      <c r="Y99" s="147"/>
      <c r="Z99" s="147"/>
      <c r="AA99" s="147"/>
      <c r="AB99" s="147"/>
      <c r="AC99" s="147"/>
      <c r="AD99" s="147"/>
      <c r="AE99" s="147"/>
      <c r="AF99" s="147"/>
      <c r="AG99" s="147"/>
      <c r="AH99" s="147"/>
      <c r="AI99" s="147"/>
      <c r="AJ99" s="147"/>
      <c r="AK99" s="147"/>
      <c r="AL99" s="147"/>
      <c r="AM99" s="147"/>
      <c r="AN99" s="147"/>
      <c r="AO99" s="147"/>
      <c r="AP99" s="147"/>
      <c r="AQ99" s="147"/>
      <c r="AR99" s="147"/>
      <c r="AS99" s="147"/>
      <c r="AT99" s="147"/>
    </row>
    <row r="100" spans="1:47" x14ac:dyDescent="0.2">
      <c r="A100" s="152" t="s">
        <v>318</v>
      </c>
      <c r="B100" s="148">
        <f t="shared" ref="B100:AT100" si="49">(B134/B66)*1</f>
        <v>19.757881462799496</v>
      </c>
      <c r="C100" s="148">
        <f t="shared" si="49"/>
        <v>22.423255435225148</v>
      </c>
      <c r="D100" s="148">
        <f t="shared" si="49"/>
        <v>20.348656018698872</v>
      </c>
      <c r="E100" s="148">
        <f t="shared" si="49"/>
        <v>19.882553513923092</v>
      </c>
      <c r="F100" s="148">
        <f t="shared" si="49"/>
        <v>20.189729088753079</v>
      </c>
      <c r="G100" s="148">
        <f t="shared" si="49"/>
        <v>20.434467120181406</v>
      </c>
      <c r="H100" s="148">
        <f t="shared" si="49"/>
        <v>21.123237071860309</v>
      </c>
      <c r="I100" s="148">
        <f t="shared" si="49"/>
        <v>22.414564037048866</v>
      </c>
      <c r="J100" s="148">
        <f t="shared" si="49"/>
        <v>19.074344583685708</v>
      </c>
      <c r="K100" s="148">
        <f t="shared" si="49"/>
        <v>19.413673232908458</v>
      </c>
      <c r="L100" s="148">
        <f t="shared" si="49"/>
        <v>19.977490560557651</v>
      </c>
      <c r="M100" s="148">
        <f t="shared" si="49"/>
        <v>20.338213023725391</v>
      </c>
      <c r="N100" s="148">
        <f t="shared" si="49"/>
        <v>20.646829613885938</v>
      </c>
      <c r="O100" s="148">
        <f t="shared" si="49"/>
        <v>18.624237264084005</v>
      </c>
      <c r="P100" s="148">
        <f t="shared" si="49"/>
        <v>22.074151074151075</v>
      </c>
      <c r="Q100" s="148">
        <f t="shared" si="49"/>
        <v>19.762692768114924</v>
      </c>
      <c r="R100" s="148">
        <f t="shared" si="49"/>
        <v>20.161716919821657</v>
      </c>
      <c r="S100" s="148">
        <f t="shared" si="49"/>
        <v>20.92417559336274</v>
      </c>
      <c r="T100" s="148">
        <f t="shared" si="49"/>
        <v>22.402288550354999</v>
      </c>
      <c r="U100" s="148">
        <f t="shared" si="49"/>
        <v>21.881752111569437</v>
      </c>
      <c r="V100" s="145">
        <f t="shared" si="49"/>
        <v>23.700655498907501</v>
      </c>
      <c r="W100" s="145">
        <f t="shared" si="49"/>
        <v>20.713882845862543</v>
      </c>
      <c r="X100" s="145">
        <f t="shared" si="49"/>
        <v>20.362313515102521</v>
      </c>
      <c r="Y100" s="145">
        <f t="shared" si="49"/>
        <v>22.78527971509126</v>
      </c>
      <c r="Z100" s="145">
        <f t="shared" si="49"/>
        <v>22.974669013545572</v>
      </c>
      <c r="AA100" s="145">
        <f t="shared" si="49"/>
        <v>22.071767640196313</v>
      </c>
      <c r="AB100" s="145">
        <f t="shared" si="49"/>
        <v>26.130714943234118</v>
      </c>
      <c r="AC100" s="145">
        <f t="shared" si="49"/>
        <v>25.532563362207252</v>
      </c>
      <c r="AD100" s="145">
        <f t="shared" si="49"/>
        <v>26.760577401692384</v>
      </c>
      <c r="AE100" s="145">
        <f t="shared" si="49"/>
        <v>25.932085328689595</v>
      </c>
      <c r="AF100" s="145">
        <f t="shared" si="49"/>
        <v>27.708675720093421</v>
      </c>
      <c r="AG100" s="145">
        <f t="shared" si="49"/>
        <v>23.818001978239366</v>
      </c>
      <c r="AH100" s="145">
        <f t="shared" si="49"/>
        <v>29.25338427040943</v>
      </c>
      <c r="AI100" s="145">
        <f t="shared" si="49"/>
        <v>28.413344887348355</v>
      </c>
      <c r="AJ100" s="145">
        <f t="shared" si="49"/>
        <v>27.292157375905088</v>
      </c>
      <c r="AK100" s="145">
        <f t="shared" si="49"/>
        <v>30.880914964204642</v>
      </c>
      <c r="AL100" s="145">
        <f t="shared" si="49"/>
        <v>32.776988636363633</v>
      </c>
      <c r="AM100" s="145">
        <f t="shared" si="49"/>
        <v>31.70856527204166</v>
      </c>
      <c r="AN100" s="187">
        <f t="shared" si="49"/>
        <v>30.317358697640387</v>
      </c>
      <c r="AO100" s="187">
        <f t="shared" si="49"/>
        <v>29.249185004074977</v>
      </c>
      <c r="AP100" s="145">
        <f t="shared" si="49"/>
        <v>29.435978279908916</v>
      </c>
      <c r="AQ100" s="145">
        <f t="shared" si="49"/>
        <v>33.172755976544877</v>
      </c>
      <c r="AR100" s="145">
        <f t="shared" si="49"/>
        <v>28.698021978021977</v>
      </c>
      <c r="AS100" s="145">
        <f t="shared" si="49"/>
        <v>32.206067133369231</v>
      </c>
      <c r="AT100" s="187">
        <f t="shared" si="49"/>
        <v>32.49930907415937</v>
      </c>
    </row>
    <row r="101" spans="1:47" x14ac:dyDescent="0.2">
      <c r="A101" s="12"/>
      <c r="B101" s="12"/>
      <c r="C101" s="12"/>
      <c r="D101" s="12"/>
      <c r="E101" s="12"/>
      <c r="F101" s="12"/>
      <c r="G101" s="12"/>
      <c r="H101" s="12"/>
      <c r="I101" s="12"/>
      <c r="J101" s="12"/>
      <c r="K101" s="12"/>
      <c r="L101" s="12"/>
      <c r="M101" s="12"/>
      <c r="N101" s="12"/>
      <c r="O101" s="12"/>
      <c r="P101" s="12"/>
      <c r="Q101" s="12"/>
      <c r="R101" s="12"/>
      <c r="S101" s="12"/>
      <c r="T101" s="12"/>
      <c r="AC101" s="21"/>
      <c r="AD101" s="21"/>
      <c r="AE101" s="21"/>
      <c r="AF101" s="21"/>
      <c r="AG101" s="21"/>
      <c r="AH101" s="21"/>
      <c r="AI101" s="21"/>
      <c r="AJ101" s="21"/>
    </row>
    <row r="102" spans="1:47" x14ac:dyDescent="0.2">
      <c r="A102" s="12"/>
      <c r="B102" s="12"/>
      <c r="C102" s="12"/>
      <c r="D102" s="12"/>
      <c r="E102" s="12"/>
      <c r="F102" s="12"/>
      <c r="G102" s="12"/>
      <c r="H102" s="12"/>
      <c r="I102" s="12"/>
      <c r="J102" s="12"/>
      <c r="K102" s="12"/>
      <c r="L102" s="12"/>
      <c r="M102" s="12"/>
      <c r="N102" s="12"/>
      <c r="O102" s="12"/>
      <c r="P102" s="12"/>
      <c r="Q102" s="12"/>
      <c r="R102" s="12"/>
      <c r="S102" s="12"/>
      <c r="T102" s="12"/>
      <c r="AC102" s="21"/>
      <c r="AD102" s="21"/>
      <c r="AE102" s="21"/>
      <c r="AF102" s="21"/>
      <c r="AG102" s="21"/>
      <c r="AH102" s="21"/>
      <c r="AI102" s="21"/>
      <c r="AJ102" s="21"/>
    </row>
    <row r="103" spans="1:47" x14ac:dyDescent="0.2">
      <c r="A103" s="12"/>
      <c r="B103" s="8"/>
      <c r="C103" s="8"/>
      <c r="D103" s="8"/>
      <c r="E103" s="8"/>
      <c r="F103" s="8"/>
      <c r="G103" s="8"/>
      <c r="H103" s="8"/>
      <c r="I103" s="14"/>
      <c r="J103" s="14"/>
      <c r="K103" s="14"/>
      <c r="L103" s="14"/>
      <c r="M103" s="14"/>
      <c r="N103" s="11"/>
      <c r="O103" s="11"/>
      <c r="P103" s="11"/>
      <c r="Q103" s="14"/>
      <c r="R103" s="11"/>
      <c r="S103" s="11"/>
      <c r="T103" s="11"/>
      <c r="U103" s="11"/>
      <c r="V103" s="11"/>
      <c r="W103" s="11"/>
      <c r="X103" s="11"/>
      <c r="Y103" s="11"/>
      <c r="Z103" s="11"/>
      <c r="AA103" s="11"/>
      <c r="AB103" s="11"/>
      <c r="AC103" s="11"/>
      <c r="AD103" s="11"/>
      <c r="AE103" s="11"/>
      <c r="AF103" s="11"/>
      <c r="AG103" s="11"/>
      <c r="AH103" s="11"/>
      <c r="AI103" s="11"/>
      <c r="AJ103" s="11"/>
    </row>
    <row r="104" spans="1:47" ht="22.5" x14ac:dyDescent="0.2">
      <c r="A104" s="198" t="s">
        <v>297</v>
      </c>
      <c r="B104" s="15" t="s">
        <v>199</v>
      </c>
      <c r="C104" s="15" t="s">
        <v>200</v>
      </c>
      <c r="D104" s="15" t="s">
        <v>201</v>
      </c>
      <c r="E104" s="15" t="s">
        <v>202</v>
      </c>
      <c r="F104" s="15" t="s">
        <v>203</v>
      </c>
      <c r="G104" s="15" t="s">
        <v>204</v>
      </c>
      <c r="H104" s="15" t="s">
        <v>205</v>
      </c>
      <c r="I104" s="16" t="s">
        <v>206</v>
      </c>
      <c r="J104" s="16" t="s">
        <v>207</v>
      </c>
      <c r="K104" s="16" t="s">
        <v>208</v>
      </c>
      <c r="L104" s="16" t="s">
        <v>209</v>
      </c>
      <c r="M104" s="28" t="s">
        <v>210</v>
      </c>
      <c r="N104" s="28" t="s">
        <v>211</v>
      </c>
      <c r="O104" s="28" t="s">
        <v>212</v>
      </c>
      <c r="P104" s="28" t="s">
        <v>213</v>
      </c>
      <c r="Q104" s="28" t="s">
        <v>214</v>
      </c>
      <c r="R104" s="28" t="s">
        <v>215</v>
      </c>
      <c r="S104" s="28" t="s">
        <v>216</v>
      </c>
      <c r="T104" s="28" t="s">
        <v>217</v>
      </c>
      <c r="U104" s="29" t="s">
        <v>291</v>
      </c>
      <c r="V104" s="29" t="s">
        <v>292</v>
      </c>
      <c r="W104" s="29" t="s">
        <v>293</v>
      </c>
      <c r="X104" s="29" t="s">
        <v>294</v>
      </c>
      <c r="Y104" s="29" t="s">
        <v>222</v>
      </c>
      <c r="Z104" s="29" t="s">
        <v>223</v>
      </c>
      <c r="AA104" s="29" t="s">
        <v>224</v>
      </c>
      <c r="AB104" s="29" t="s">
        <v>225</v>
      </c>
      <c r="AC104" s="29" t="s">
        <v>226</v>
      </c>
      <c r="AD104" s="29" t="s">
        <v>227</v>
      </c>
      <c r="AE104" s="29" t="s">
        <v>228</v>
      </c>
      <c r="AF104" s="29" t="s">
        <v>229</v>
      </c>
      <c r="AG104" s="29" t="s">
        <v>230</v>
      </c>
      <c r="AH104" s="29" t="s">
        <v>231</v>
      </c>
      <c r="AI104" s="29" t="s">
        <v>232</v>
      </c>
      <c r="AJ104" s="29" t="s">
        <v>233</v>
      </c>
      <c r="AK104" s="30" t="s">
        <v>234</v>
      </c>
      <c r="AL104" s="30" t="s">
        <v>235</v>
      </c>
      <c r="AM104" s="30" t="s">
        <v>236</v>
      </c>
      <c r="AN104" s="30" t="s">
        <v>237</v>
      </c>
      <c r="AO104" s="30" t="s">
        <v>238</v>
      </c>
      <c r="AP104" s="30" t="s">
        <v>239</v>
      </c>
      <c r="AQ104" s="17" t="s">
        <v>348</v>
      </c>
      <c r="AR104" s="17" t="s">
        <v>379</v>
      </c>
      <c r="AS104" s="169" t="s">
        <v>378</v>
      </c>
      <c r="AT104" s="169" t="s">
        <v>377</v>
      </c>
    </row>
    <row r="105" spans="1:47" x14ac:dyDescent="0.2">
      <c r="A105" s="12" t="s">
        <v>413</v>
      </c>
      <c r="B105" s="12"/>
      <c r="C105" s="12"/>
      <c r="D105" s="12"/>
      <c r="E105" s="12"/>
      <c r="F105" s="12"/>
      <c r="G105" s="12"/>
      <c r="H105" s="31"/>
      <c r="K105" s="19"/>
      <c r="Q105" s="19"/>
      <c r="U105" s="10"/>
      <c r="V105" s="34"/>
      <c r="W105" s="34"/>
      <c r="X105" s="34"/>
      <c r="Y105" s="34"/>
      <c r="Z105" s="34"/>
      <c r="AA105" s="34"/>
      <c r="AB105" s="35"/>
      <c r="AC105" s="34"/>
      <c r="AD105" s="34"/>
      <c r="AE105" s="34"/>
      <c r="AF105" s="34"/>
      <c r="AG105" s="34"/>
      <c r="AH105" s="34"/>
      <c r="AI105" s="34"/>
      <c r="AJ105" s="34"/>
      <c r="AK105" s="34"/>
      <c r="AL105" s="34"/>
    </row>
    <row r="106" spans="1:47" x14ac:dyDescent="0.2">
      <c r="A106" s="12" t="s">
        <v>324</v>
      </c>
      <c r="B106" s="12"/>
      <c r="C106" s="12"/>
      <c r="D106" s="12"/>
      <c r="E106" s="12"/>
      <c r="F106" s="12"/>
      <c r="G106" s="12"/>
      <c r="H106" s="12"/>
      <c r="I106" s="12"/>
      <c r="J106" s="12"/>
      <c r="K106" s="12"/>
      <c r="L106" s="12"/>
      <c r="M106" s="12"/>
      <c r="N106" s="12"/>
      <c r="O106" s="12"/>
      <c r="P106" s="12"/>
      <c r="Q106" s="12"/>
      <c r="R106" s="12"/>
      <c r="S106" s="12"/>
      <c r="T106" s="12"/>
      <c r="AC106" s="21"/>
      <c r="AD106" s="21"/>
      <c r="AE106" s="21"/>
      <c r="AF106" s="21"/>
      <c r="AG106" s="21"/>
      <c r="AH106" s="21"/>
      <c r="AI106" s="21"/>
      <c r="AJ106" s="21"/>
      <c r="AK106" s="21"/>
      <c r="AL106" s="21"/>
    </row>
    <row r="107" spans="1:47" x14ac:dyDescent="0.2">
      <c r="A107" s="12" t="s">
        <v>299</v>
      </c>
      <c r="B107" s="38">
        <v>1892</v>
      </c>
      <c r="C107" s="38">
        <v>2030</v>
      </c>
      <c r="D107" s="38">
        <v>1853</v>
      </c>
      <c r="E107" s="38">
        <v>1976</v>
      </c>
      <c r="F107" s="38">
        <v>2117</v>
      </c>
      <c r="G107" s="38">
        <v>2325</v>
      </c>
      <c r="H107" s="38">
        <v>2288</v>
      </c>
      <c r="I107" s="38">
        <v>2911</v>
      </c>
      <c r="J107" s="38">
        <v>2393</v>
      </c>
      <c r="K107" s="38">
        <v>2565</v>
      </c>
      <c r="L107" s="38">
        <v>3266</v>
      </c>
      <c r="M107" s="38">
        <v>2573</v>
      </c>
      <c r="N107" s="38">
        <v>3098</v>
      </c>
      <c r="O107" s="38">
        <v>3179</v>
      </c>
      <c r="P107" s="38">
        <v>3029</v>
      </c>
      <c r="Q107" s="38">
        <v>2970</v>
      </c>
      <c r="R107" s="38">
        <v>1963</v>
      </c>
      <c r="S107" s="38">
        <v>3040</v>
      </c>
      <c r="T107" s="38">
        <v>2768</v>
      </c>
      <c r="U107" s="124">
        <v>3534</v>
      </c>
      <c r="V107" s="124">
        <v>3403</v>
      </c>
      <c r="W107" s="124">
        <v>3220</v>
      </c>
      <c r="X107" s="124">
        <v>3204</v>
      </c>
      <c r="Y107" s="124">
        <v>3400</v>
      </c>
      <c r="Z107" s="124">
        <v>3439</v>
      </c>
      <c r="AA107" s="124">
        <v>3238</v>
      </c>
      <c r="AB107" s="124">
        <v>3573</v>
      </c>
      <c r="AC107" s="124">
        <v>3487</v>
      </c>
      <c r="AD107" s="124">
        <v>3903</v>
      </c>
      <c r="AE107" s="124">
        <v>3318</v>
      </c>
      <c r="AF107" s="124">
        <v>3822</v>
      </c>
      <c r="AG107" s="124">
        <v>3672</v>
      </c>
      <c r="AH107" s="124">
        <v>4437</v>
      </c>
      <c r="AI107" s="124">
        <v>4009</v>
      </c>
      <c r="AJ107" s="124">
        <v>4395</v>
      </c>
      <c r="AK107" s="124">
        <v>4787</v>
      </c>
      <c r="AL107" s="124">
        <v>4589</v>
      </c>
      <c r="AM107" s="124">
        <v>3604</v>
      </c>
      <c r="AN107" s="124">
        <v>4336</v>
      </c>
      <c r="AO107" s="124">
        <v>4147</v>
      </c>
      <c r="AP107" s="124">
        <v>4358</v>
      </c>
      <c r="AQ107" s="124">
        <v>5311</v>
      </c>
      <c r="AR107" s="124">
        <v>3974</v>
      </c>
      <c r="AS107" s="38">
        <v>4409</v>
      </c>
      <c r="AT107" s="124">
        <v>4110</v>
      </c>
      <c r="AU107" s="173"/>
    </row>
    <row r="108" spans="1:47" x14ac:dyDescent="0.2">
      <c r="A108" s="12" t="s">
        <v>300</v>
      </c>
      <c r="B108" s="38">
        <v>339</v>
      </c>
      <c r="C108" s="38">
        <v>284</v>
      </c>
      <c r="D108" s="38" t="s">
        <v>152</v>
      </c>
      <c r="E108" s="38">
        <v>222</v>
      </c>
      <c r="F108" s="38">
        <v>201</v>
      </c>
      <c r="G108" s="38">
        <v>258</v>
      </c>
      <c r="H108" s="38">
        <v>309</v>
      </c>
      <c r="I108" s="38">
        <v>269</v>
      </c>
      <c r="J108" s="38">
        <v>234</v>
      </c>
      <c r="K108" s="38">
        <v>199</v>
      </c>
      <c r="L108" s="38">
        <v>355</v>
      </c>
      <c r="M108" s="38">
        <v>296</v>
      </c>
      <c r="N108" s="38">
        <v>328</v>
      </c>
      <c r="O108" s="38">
        <v>212</v>
      </c>
      <c r="P108" s="38">
        <v>264</v>
      </c>
      <c r="Q108" s="38">
        <v>230</v>
      </c>
      <c r="R108" s="38">
        <v>86</v>
      </c>
      <c r="S108" s="38">
        <v>17</v>
      </c>
      <c r="T108" s="38">
        <v>19</v>
      </c>
      <c r="U108" s="124">
        <v>33</v>
      </c>
      <c r="V108" s="124">
        <v>17</v>
      </c>
      <c r="W108" s="124">
        <v>12</v>
      </c>
      <c r="X108" s="124">
        <v>37</v>
      </c>
      <c r="Y108" s="124">
        <v>46</v>
      </c>
      <c r="Z108" s="124">
        <v>37</v>
      </c>
      <c r="AA108" s="124">
        <v>0</v>
      </c>
      <c r="AB108" s="124">
        <v>0</v>
      </c>
      <c r="AC108" s="124">
        <v>0</v>
      </c>
      <c r="AD108" s="124">
        <v>0</v>
      </c>
      <c r="AE108" s="124">
        <v>0</v>
      </c>
      <c r="AF108" s="124">
        <v>0</v>
      </c>
      <c r="AG108" s="124">
        <v>0</v>
      </c>
      <c r="AH108" s="124">
        <v>0</v>
      </c>
      <c r="AI108" s="124">
        <v>0</v>
      </c>
      <c r="AJ108" s="124">
        <v>0</v>
      </c>
      <c r="AK108" s="124">
        <v>0</v>
      </c>
      <c r="AL108" s="124">
        <v>0</v>
      </c>
      <c r="AM108" s="124">
        <v>0</v>
      </c>
      <c r="AN108" s="124">
        <v>0</v>
      </c>
      <c r="AO108" s="124">
        <v>0</v>
      </c>
      <c r="AP108" s="124">
        <v>0</v>
      </c>
      <c r="AQ108" s="124">
        <v>0</v>
      </c>
      <c r="AR108" s="124">
        <v>0</v>
      </c>
      <c r="AS108" s="124">
        <v>0</v>
      </c>
      <c r="AT108" s="124">
        <v>0</v>
      </c>
    </row>
    <row r="109" spans="1:47" x14ac:dyDescent="0.2">
      <c r="A109" s="12" t="s">
        <v>301</v>
      </c>
      <c r="B109" s="38">
        <f>B107+B108</f>
        <v>2231</v>
      </c>
      <c r="C109" s="38">
        <f>C107+C108</f>
        <v>2314</v>
      </c>
      <c r="D109" s="38">
        <f>D107</f>
        <v>1853</v>
      </c>
      <c r="E109" s="38">
        <f t="shared" ref="E109:AQ109" si="50">E107+E108</f>
        <v>2198</v>
      </c>
      <c r="F109" s="38">
        <f t="shared" si="50"/>
        <v>2318</v>
      </c>
      <c r="G109" s="38">
        <f t="shared" si="50"/>
        <v>2583</v>
      </c>
      <c r="H109" s="38">
        <f t="shared" si="50"/>
        <v>2597</v>
      </c>
      <c r="I109" s="38">
        <f t="shared" si="50"/>
        <v>3180</v>
      </c>
      <c r="J109" s="38">
        <f t="shared" si="50"/>
        <v>2627</v>
      </c>
      <c r="K109" s="38">
        <f t="shared" si="50"/>
        <v>2764</v>
      </c>
      <c r="L109" s="38">
        <f t="shared" si="50"/>
        <v>3621</v>
      </c>
      <c r="M109" s="38">
        <f t="shared" si="50"/>
        <v>2869</v>
      </c>
      <c r="N109" s="38">
        <f t="shared" si="50"/>
        <v>3426</v>
      </c>
      <c r="O109" s="38">
        <f t="shared" si="50"/>
        <v>3391</v>
      </c>
      <c r="P109" s="38">
        <f t="shared" si="50"/>
        <v>3293</v>
      </c>
      <c r="Q109" s="38">
        <f t="shared" si="50"/>
        <v>3200</v>
      </c>
      <c r="R109" s="38">
        <f t="shared" si="50"/>
        <v>2049</v>
      </c>
      <c r="S109" s="38">
        <f t="shared" si="50"/>
        <v>3057</v>
      </c>
      <c r="T109" s="38">
        <f t="shared" si="50"/>
        <v>2787</v>
      </c>
      <c r="U109" s="38">
        <f t="shared" si="50"/>
        <v>3567</v>
      </c>
      <c r="V109" s="38">
        <f t="shared" si="50"/>
        <v>3420</v>
      </c>
      <c r="W109" s="38">
        <f t="shared" si="50"/>
        <v>3232</v>
      </c>
      <c r="X109" s="38">
        <f t="shared" si="50"/>
        <v>3241</v>
      </c>
      <c r="Y109" s="38">
        <f t="shared" si="50"/>
        <v>3446</v>
      </c>
      <c r="Z109" s="38">
        <f t="shared" si="50"/>
        <v>3476</v>
      </c>
      <c r="AA109" s="38">
        <f t="shared" si="50"/>
        <v>3238</v>
      </c>
      <c r="AB109" s="38">
        <f t="shared" si="50"/>
        <v>3573</v>
      </c>
      <c r="AC109" s="38">
        <f t="shared" si="50"/>
        <v>3487</v>
      </c>
      <c r="AD109" s="38">
        <f t="shared" si="50"/>
        <v>3903</v>
      </c>
      <c r="AE109" s="38">
        <f t="shared" si="50"/>
        <v>3318</v>
      </c>
      <c r="AF109" s="38">
        <f t="shared" si="50"/>
        <v>3822</v>
      </c>
      <c r="AG109" s="38">
        <f t="shared" si="50"/>
        <v>3672</v>
      </c>
      <c r="AH109" s="38">
        <f t="shared" si="50"/>
        <v>4437</v>
      </c>
      <c r="AI109" s="38">
        <f t="shared" si="50"/>
        <v>4009</v>
      </c>
      <c r="AJ109" s="38">
        <f t="shared" si="50"/>
        <v>4395</v>
      </c>
      <c r="AK109" s="38">
        <f t="shared" si="50"/>
        <v>4787</v>
      </c>
      <c r="AL109" s="38">
        <f t="shared" si="50"/>
        <v>4589</v>
      </c>
      <c r="AM109" s="38">
        <f t="shared" si="50"/>
        <v>3604</v>
      </c>
      <c r="AN109" s="124">
        <f t="shared" si="50"/>
        <v>4336</v>
      </c>
      <c r="AO109" s="124">
        <f t="shared" si="50"/>
        <v>4147</v>
      </c>
      <c r="AP109" s="38">
        <f t="shared" si="50"/>
        <v>4358</v>
      </c>
      <c r="AQ109" s="38">
        <f t="shared" si="50"/>
        <v>5311</v>
      </c>
      <c r="AR109" s="38">
        <f>AR107+AR108</f>
        <v>3974</v>
      </c>
      <c r="AS109" s="38">
        <f>AS107+AS108</f>
        <v>4409</v>
      </c>
      <c r="AT109" s="124">
        <f>AT107+AT108</f>
        <v>4110</v>
      </c>
    </row>
    <row r="110" spans="1:47" x14ac:dyDescent="0.2">
      <c r="A110" s="12"/>
      <c r="B110" s="38"/>
      <c r="C110" s="38"/>
      <c r="D110" s="38"/>
      <c r="E110" s="38"/>
      <c r="F110" s="38"/>
      <c r="G110" s="38"/>
      <c r="H110" s="38"/>
      <c r="I110" s="38"/>
      <c r="J110" s="38"/>
      <c r="K110" s="38"/>
      <c r="L110" s="38"/>
      <c r="M110" s="38"/>
      <c r="N110" s="38"/>
      <c r="O110" s="38"/>
      <c r="P110" s="38"/>
      <c r="Q110" s="38"/>
      <c r="R110" s="38"/>
      <c r="S110" s="38"/>
      <c r="T110" s="38"/>
      <c r="U110" s="124"/>
      <c r="V110" s="124"/>
      <c r="W110" s="124"/>
      <c r="X110" s="124"/>
      <c r="Y110" s="124"/>
      <c r="Z110" s="124"/>
      <c r="AA110" s="124"/>
      <c r="AB110" s="124"/>
      <c r="AC110" s="124"/>
      <c r="AD110" s="124"/>
      <c r="AE110" s="124"/>
      <c r="AF110" s="124"/>
      <c r="AG110" s="124"/>
      <c r="AH110" s="124"/>
      <c r="AI110" s="124"/>
      <c r="AJ110" s="124"/>
      <c r="AK110" s="124"/>
      <c r="AL110" s="124"/>
      <c r="AM110" s="149"/>
      <c r="AN110" s="149"/>
      <c r="AO110" s="149"/>
      <c r="AP110" s="149"/>
      <c r="AQ110" s="149"/>
      <c r="AR110" s="149"/>
      <c r="AS110" s="149"/>
      <c r="AT110" s="149"/>
    </row>
    <row r="111" spans="1:47" x14ac:dyDescent="0.2">
      <c r="A111" s="12" t="s">
        <v>302</v>
      </c>
      <c r="B111" s="38"/>
      <c r="C111" s="38"/>
      <c r="D111" s="38"/>
      <c r="E111" s="38"/>
      <c r="F111" s="38"/>
      <c r="G111" s="38"/>
      <c r="H111" s="38"/>
      <c r="I111" s="38"/>
      <c r="J111" s="38"/>
      <c r="K111" s="38"/>
      <c r="L111" s="38"/>
      <c r="M111" s="38"/>
      <c r="N111" s="38"/>
      <c r="O111" s="38"/>
      <c r="P111" s="38"/>
      <c r="Q111" s="38"/>
      <c r="R111" s="38"/>
      <c r="S111" s="38"/>
      <c r="T111" s="38"/>
      <c r="U111" s="124"/>
      <c r="V111" s="124"/>
      <c r="W111" s="124"/>
      <c r="X111" s="124"/>
      <c r="Y111" s="124"/>
      <c r="Z111" s="124"/>
      <c r="AA111" s="124"/>
      <c r="AB111" s="124"/>
      <c r="AC111" s="124"/>
      <c r="AD111" s="124"/>
      <c r="AE111" s="124"/>
      <c r="AF111" s="124"/>
      <c r="AG111" s="124"/>
      <c r="AH111" s="124"/>
      <c r="AI111" s="124"/>
      <c r="AJ111" s="124"/>
      <c r="AK111" s="124"/>
      <c r="AL111" s="124"/>
      <c r="AM111" s="149"/>
      <c r="AN111" s="149"/>
      <c r="AO111" s="149"/>
      <c r="AP111" s="149"/>
      <c r="AQ111" s="149"/>
      <c r="AR111" s="149"/>
      <c r="AS111" s="149"/>
      <c r="AT111" s="149"/>
    </row>
    <row r="112" spans="1:47" x14ac:dyDescent="0.2">
      <c r="A112" s="12" t="s">
        <v>303</v>
      </c>
      <c r="B112" s="38">
        <v>3621</v>
      </c>
      <c r="C112" s="38">
        <v>4403</v>
      </c>
      <c r="D112" s="38">
        <v>4738</v>
      </c>
      <c r="E112" s="38">
        <v>4662</v>
      </c>
      <c r="F112" s="38">
        <v>4340</v>
      </c>
      <c r="G112" s="38">
        <v>5088</v>
      </c>
      <c r="H112" s="38">
        <v>5194</v>
      </c>
      <c r="I112" s="38">
        <v>6200</v>
      </c>
      <c r="J112" s="38">
        <v>4743</v>
      </c>
      <c r="K112" s="38">
        <v>5456</v>
      </c>
      <c r="L112" s="38">
        <v>5387</v>
      </c>
      <c r="M112" s="38">
        <v>6171</v>
      </c>
      <c r="N112" s="38">
        <v>6845</v>
      </c>
      <c r="O112" s="38">
        <v>5344</v>
      </c>
      <c r="P112" s="38">
        <v>8467</v>
      </c>
      <c r="Q112" s="38">
        <v>7434</v>
      </c>
      <c r="R112" s="38">
        <v>7971</v>
      </c>
      <c r="S112" s="38">
        <v>8251</v>
      </c>
      <c r="T112" s="38">
        <v>9710</v>
      </c>
      <c r="U112" s="124">
        <v>9447</v>
      </c>
      <c r="V112" s="124">
        <v>9245</v>
      </c>
      <c r="W112" s="124">
        <v>7796</v>
      </c>
      <c r="X112" s="124">
        <v>8854</v>
      </c>
      <c r="Y112" s="124">
        <v>10032</v>
      </c>
      <c r="Z112" s="124">
        <v>9823</v>
      </c>
      <c r="AA112" s="124">
        <v>9384</v>
      </c>
      <c r="AB112" s="124">
        <v>11877</v>
      </c>
      <c r="AC112" s="124">
        <v>11448</v>
      </c>
      <c r="AD112" s="124">
        <v>9855</v>
      </c>
      <c r="AE112" s="124">
        <v>10641</v>
      </c>
      <c r="AF112" s="124">
        <v>11731</v>
      </c>
      <c r="AG112" s="124">
        <v>8911</v>
      </c>
      <c r="AH112" s="124">
        <v>12270</v>
      </c>
      <c r="AI112" s="124">
        <v>11076</v>
      </c>
      <c r="AJ112" s="124">
        <v>9765</v>
      </c>
      <c r="AK112" s="124">
        <v>12180</v>
      </c>
      <c r="AL112" s="124">
        <v>12510</v>
      </c>
      <c r="AM112" s="124">
        <v>12515</v>
      </c>
      <c r="AN112" s="124">
        <v>10486</v>
      </c>
      <c r="AO112" s="124">
        <v>8425</v>
      </c>
      <c r="AP112" s="124">
        <v>11197</v>
      </c>
      <c r="AQ112" s="124">
        <v>12276</v>
      </c>
      <c r="AR112" s="38">
        <v>11077</v>
      </c>
      <c r="AS112" s="38">
        <v>12808</v>
      </c>
      <c r="AT112" s="124">
        <v>11818</v>
      </c>
      <c r="AU112" s="173"/>
    </row>
    <row r="113" spans="1:47" x14ac:dyDescent="0.2">
      <c r="A113" s="12" t="s">
        <v>304</v>
      </c>
      <c r="B113" s="38">
        <v>2017</v>
      </c>
      <c r="C113" s="38">
        <v>2695</v>
      </c>
      <c r="D113" s="38">
        <v>2476</v>
      </c>
      <c r="E113" s="38">
        <v>2404</v>
      </c>
      <c r="F113" s="38">
        <v>2309</v>
      </c>
      <c r="G113" s="38">
        <v>2423</v>
      </c>
      <c r="H113" s="38">
        <v>2932</v>
      </c>
      <c r="I113" s="38">
        <v>3161</v>
      </c>
      <c r="J113" s="38">
        <v>2580</v>
      </c>
      <c r="K113" s="38">
        <v>2828</v>
      </c>
      <c r="L113" s="38">
        <v>2782</v>
      </c>
      <c r="M113" s="38">
        <v>3568</v>
      </c>
      <c r="N113" s="38">
        <v>3388</v>
      </c>
      <c r="O113" s="38">
        <v>3112</v>
      </c>
      <c r="P113" s="38">
        <v>4272</v>
      </c>
      <c r="Q113" s="38">
        <v>3929</v>
      </c>
      <c r="R113" s="38">
        <v>4213</v>
      </c>
      <c r="S113" s="38">
        <v>4205</v>
      </c>
      <c r="T113" s="38">
        <v>5386</v>
      </c>
      <c r="U113" s="124">
        <v>5138</v>
      </c>
      <c r="V113" s="124">
        <v>5127</v>
      </c>
      <c r="W113" s="124">
        <v>4290</v>
      </c>
      <c r="X113" s="124">
        <v>4799</v>
      </c>
      <c r="Y113" s="124">
        <v>5202</v>
      </c>
      <c r="Z113" s="124">
        <v>4846</v>
      </c>
      <c r="AA113" s="124">
        <v>4568</v>
      </c>
      <c r="AB113" s="124">
        <v>6318</v>
      </c>
      <c r="AC113" s="124">
        <v>5706</v>
      </c>
      <c r="AD113" s="124">
        <v>5102</v>
      </c>
      <c r="AE113" s="124">
        <v>4796</v>
      </c>
      <c r="AF113" s="124">
        <v>5671</v>
      </c>
      <c r="AG113" s="124">
        <v>4613</v>
      </c>
      <c r="AH113" s="124">
        <v>6020</v>
      </c>
      <c r="AI113" s="124">
        <v>5693</v>
      </c>
      <c r="AJ113" s="124">
        <v>5093</v>
      </c>
      <c r="AK113" s="124">
        <v>5747</v>
      </c>
      <c r="AL113" s="124">
        <v>6252</v>
      </c>
      <c r="AM113" s="124">
        <v>6445</v>
      </c>
      <c r="AN113" s="124">
        <v>5731</v>
      </c>
      <c r="AO113" s="124">
        <v>4420</v>
      </c>
      <c r="AP113" s="124">
        <v>5428</v>
      </c>
      <c r="AQ113" s="124">
        <v>6482</v>
      </c>
      <c r="AR113" s="38">
        <v>6499</v>
      </c>
      <c r="AS113" s="38">
        <v>6560</v>
      </c>
      <c r="AT113" s="124">
        <v>6675</v>
      </c>
      <c r="AU113" s="173"/>
    </row>
    <row r="114" spans="1:47" x14ac:dyDescent="0.2">
      <c r="A114" s="12" t="s">
        <v>301</v>
      </c>
      <c r="B114" s="38">
        <f>SUM(B112:B113)</f>
        <v>5638</v>
      </c>
      <c r="C114" s="38">
        <f>SUM(C112:C113)</f>
        <v>7098</v>
      </c>
      <c r="D114" s="38">
        <f>SUM(D112:D113)</f>
        <v>7214</v>
      </c>
      <c r="E114" s="38">
        <f>SUM(E112:E113)</f>
        <v>7066</v>
      </c>
      <c r="F114" s="38">
        <f>SUM(F112:F113)</f>
        <v>6649</v>
      </c>
      <c r="G114" s="38">
        <f>G112+G113</f>
        <v>7511</v>
      </c>
      <c r="H114" s="38">
        <f>H112+H113</f>
        <v>8126</v>
      </c>
      <c r="I114" s="38">
        <f>I112+I113</f>
        <v>9361</v>
      </c>
      <c r="J114" s="38">
        <f>J112+J113</f>
        <v>7323</v>
      </c>
      <c r="K114" s="38">
        <f>K112+K113</f>
        <v>8284</v>
      </c>
      <c r="L114" s="38">
        <f t="shared" ref="L114:AQ114" si="51">L112+L113</f>
        <v>8169</v>
      </c>
      <c r="M114" s="38">
        <f t="shared" si="51"/>
        <v>9739</v>
      </c>
      <c r="N114" s="38">
        <f t="shared" si="51"/>
        <v>10233</v>
      </c>
      <c r="O114" s="38">
        <f t="shared" si="51"/>
        <v>8456</v>
      </c>
      <c r="P114" s="38">
        <f t="shared" si="51"/>
        <v>12739</v>
      </c>
      <c r="Q114" s="38">
        <f t="shared" si="51"/>
        <v>11363</v>
      </c>
      <c r="R114" s="38">
        <f t="shared" si="51"/>
        <v>12184</v>
      </c>
      <c r="S114" s="38">
        <f t="shared" si="51"/>
        <v>12456</v>
      </c>
      <c r="T114" s="38">
        <f t="shared" si="51"/>
        <v>15096</v>
      </c>
      <c r="U114" s="38">
        <f t="shared" si="51"/>
        <v>14585</v>
      </c>
      <c r="V114" s="38">
        <f t="shared" si="51"/>
        <v>14372</v>
      </c>
      <c r="W114" s="38">
        <f t="shared" si="51"/>
        <v>12086</v>
      </c>
      <c r="X114" s="38">
        <f t="shared" si="51"/>
        <v>13653</v>
      </c>
      <c r="Y114" s="38">
        <f t="shared" si="51"/>
        <v>15234</v>
      </c>
      <c r="Z114" s="38">
        <f t="shared" si="51"/>
        <v>14669</v>
      </c>
      <c r="AA114" s="38">
        <f t="shared" si="51"/>
        <v>13952</v>
      </c>
      <c r="AB114" s="38">
        <f t="shared" si="51"/>
        <v>18195</v>
      </c>
      <c r="AC114" s="38">
        <f t="shared" si="51"/>
        <v>17154</v>
      </c>
      <c r="AD114" s="38">
        <f t="shared" si="51"/>
        <v>14957</v>
      </c>
      <c r="AE114" s="38">
        <f t="shared" si="51"/>
        <v>15437</v>
      </c>
      <c r="AF114" s="38">
        <f t="shared" si="51"/>
        <v>17402</v>
      </c>
      <c r="AG114" s="38">
        <f t="shared" si="51"/>
        <v>13524</v>
      </c>
      <c r="AH114" s="38">
        <f t="shared" si="51"/>
        <v>18290</v>
      </c>
      <c r="AI114" s="38">
        <f t="shared" si="51"/>
        <v>16769</v>
      </c>
      <c r="AJ114" s="38">
        <f t="shared" si="51"/>
        <v>14858</v>
      </c>
      <c r="AK114" s="38">
        <f t="shared" si="51"/>
        <v>17927</v>
      </c>
      <c r="AL114" s="38">
        <f t="shared" si="51"/>
        <v>18762</v>
      </c>
      <c r="AM114" s="38">
        <f t="shared" si="51"/>
        <v>18960</v>
      </c>
      <c r="AN114" s="124">
        <f t="shared" si="51"/>
        <v>16217</v>
      </c>
      <c r="AO114" s="124">
        <f t="shared" si="51"/>
        <v>12845</v>
      </c>
      <c r="AP114" s="38">
        <f t="shared" si="51"/>
        <v>16625</v>
      </c>
      <c r="AQ114" s="38">
        <f t="shared" si="51"/>
        <v>18758</v>
      </c>
      <c r="AR114" s="38">
        <f>AR112+AR113</f>
        <v>17576</v>
      </c>
      <c r="AS114" s="38">
        <f>AS112+AS113</f>
        <v>19368</v>
      </c>
      <c r="AT114" s="124">
        <f>AT112+AT113</f>
        <v>18493</v>
      </c>
      <c r="AU114" s="173"/>
    </row>
    <row r="115" spans="1:47" x14ac:dyDescent="0.2">
      <c r="A115" s="12"/>
      <c r="B115" s="38"/>
      <c r="C115" s="38"/>
      <c r="D115" s="38"/>
      <c r="E115" s="38"/>
      <c r="F115" s="38"/>
      <c r="G115" s="38"/>
      <c r="H115" s="38"/>
      <c r="I115" s="38"/>
      <c r="J115" s="38"/>
      <c r="K115" s="38"/>
      <c r="L115" s="38"/>
      <c r="M115" s="38"/>
      <c r="N115" s="38"/>
      <c r="O115" s="38"/>
      <c r="P115" s="38"/>
      <c r="Q115" s="38"/>
      <c r="R115" s="38"/>
      <c r="S115" s="38"/>
      <c r="T115" s="38"/>
      <c r="U115" s="124"/>
      <c r="V115" s="124"/>
      <c r="W115" s="124"/>
      <c r="X115" s="124"/>
      <c r="Y115" s="124"/>
      <c r="Z115" s="124"/>
      <c r="AA115" s="124"/>
      <c r="AB115" s="124"/>
      <c r="AC115" s="124"/>
      <c r="AD115" s="124"/>
      <c r="AE115" s="124"/>
      <c r="AF115" s="124"/>
      <c r="AG115" s="124"/>
      <c r="AH115" s="124"/>
      <c r="AI115" s="124"/>
      <c r="AJ115" s="124"/>
      <c r="AK115" s="124"/>
      <c r="AL115" s="124"/>
      <c r="AM115" s="149"/>
      <c r="AN115" s="149"/>
      <c r="AO115" s="149"/>
      <c r="AP115" s="149"/>
      <c r="AQ115" s="149"/>
      <c r="AR115" s="149"/>
      <c r="AS115" s="149"/>
      <c r="AT115" s="149"/>
    </row>
    <row r="116" spans="1:47" x14ac:dyDescent="0.2">
      <c r="A116" s="12" t="s">
        <v>305</v>
      </c>
      <c r="B116" s="38"/>
      <c r="C116" s="38"/>
      <c r="D116" s="38"/>
      <c r="E116" s="38"/>
      <c r="F116" s="38"/>
      <c r="G116" s="38"/>
      <c r="H116" s="38"/>
      <c r="I116" s="38"/>
      <c r="J116" s="38"/>
      <c r="K116" s="38"/>
      <c r="L116" s="38"/>
      <c r="M116" s="38"/>
      <c r="N116" s="38"/>
      <c r="O116" s="38"/>
      <c r="P116" s="38"/>
      <c r="Q116" s="38"/>
      <c r="R116" s="38"/>
      <c r="S116" s="38"/>
      <c r="T116" s="38"/>
      <c r="U116" s="124"/>
      <c r="V116" s="124"/>
      <c r="W116" s="124"/>
      <c r="X116" s="124"/>
      <c r="Y116" s="124"/>
      <c r="Z116" s="124"/>
      <c r="AA116" s="124"/>
      <c r="AB116" s="124"/>
      <c r="AC116" s="124"/>
      <c r="AD116" s="124"/>
      <c r="AE116" s="124"/>
      <c r="AF116" s="124"/>
      <c r="AG116" s="124"/>
      <c r="AH116" s="124"/>
      <c r="AI116" s="124"/>
      <c r="AJ116" s="124"/>
      <c r="AK116" s="124"/>
      <c r="AL116" s="124"/>
      <c r="AM116" s="149"/>
      <c r="AN116" s="149"/>
      <c r="AO116" s="149"/>
      <c r="AP116" s="149"/>
      <c r="AQ116" s="149"/>
      <c r="AR116" s="149"/>
      <c r="AS116" s="149"/>
      <c r="AT116" s="149"/>
    </row>
    <row r="117" spans="1:47" x14ac:dyDescent="0.2">
      <c r="A117" s="12" t="s">
        <v>306</v>
      </c>
      <c r="B117" s="38">
        <v>1729</v>
      </c>
      <c r="C117" s="38">
        <v>1733</v>
      </c>
      <c r="D117" s="38">
        <v>920</v>
      </c>
      <c r="E117" s="38">
        <v>603</v>
      </c>
      <c r="F117" s="38">
        <v>964</v>
      </c>
      <c r="G117" s="38">
        <v>46</v>
      </c>
      <c r="H117" s="38">
        <v>889</v>
      </c>
      <c r="I117" s="38">
        <v>803</v>
      </c>
      <c r="J117" s="38">
        <v>880</v>
      </c>
      <c r="K117" s="38">
        <v>912</v>
      </c>
      <c r="L117" s="38">
        <v>944</v>
      </c>
      <c r="M117" s="38">
        <v>965</v>
      </c>
      <c r="N117" s="38">
        <v>954</v>
      </c>
      <c r="O117" s="38">
        <v>924</v>
      </c>
      <c r="P117" s="38">
        <v>946</v>
      </c>
      <c r="Q117" s="38">
        <v>715</v>
      </c>
      <c r="R117" s="38">
        <v>1032</v>
      </c>
      <c r="S117" s="38">
        <v>1308</v>
      </c>
      <c r="T117" s="38">
        <v>1301</v>
      </c>
      <c r="U117" s="124">
        <v>1459</v>
      </c>
      <c r="V117" s="124">
        <v>1206</v>
      </c>
      <c r="W117" s="124">
        <v>824</v>
      </c>
      <c r="X117" s="124">
        <v>794</v>
      </c>
      <c r="Y117" s="124">
        <v>644</v>
      </c>
      <c r="Z117" s="124">
        <v>838</v>
      </c>
      <c r="AA117" s="124">
        <v>833</v>
      </c>
      <c r="AB117" s="124">
        <v>889</v>
      </c>
      <c r="AC117" s="124">
        <v>765</v>
      </c>
      <c r="AD117" s="124">
        <v>758</v>
      </c>
      <c r="AE117" s="124">
        <v>963</v>
      </c>
      <c r="AF117" s="124">
        <v>823</v>
      </c>
      <c r="AG117" s="124">
        <v>829</v>
      </c>
      <c r="AH117" s="124">
        <v>944</v>
      </c>
      <c r="AI117" s="124">
        <v>861</v>
      </c>
      <c r="AJ117" s="124">
        <v>917</v>
      </c>
      <c r="AK117" s="124">
        <v>958</v>
      </c>
      <c r="AL117" s="124">
        <v>927</v>
      </c>
      <c r="AM117" s="124">
        <v>1035</v>
      </c>
      <c r="AN117" s="124">
        <v>831</v>
      </c>
      <c r="AO117" s="124">
        <v>746</v>
      </c>
      <c r="AP117" s="124">
        <v>742</v>
      </c>
      <c r="AQ117" s="124">
        <v>795</v>
      </c>
      <c r="AR117" s="124">
        <v>588</v>
      </c>
      <c r="AS117" s="38">
        <v>603</v>
      </c>
      <c r="AT117" s="124">
        <v>754</v>
      </c>
      <c r="AU117" s="173"/>
    </row>
    <row r="118" spans="1:47" x14ac:dyDescent="0.2">
      <c r="A118" s="12" t="s">
        <v>307</v>
      </c>
      <c r="B118" s="38">
        <v>879</v>
      </c>
      <c r="C118" s="38">
        <v>926</v>
      </c>
      <c r="D118" s="38">
        <v>850</v>
      </c>
      <c r="E118" s="38">
        <v>818</v>
      </c>
      <c r="F118" s="38">
        <v>416</v>
      </c>
      <c r="G118" s="38">
        <v>811</v>
      </c>
      <c r="H118" s="38">
        <v>1016</v>
      </c>
      <c r="I118" s="38">
        <v>1086</v>
      </c>
      <c r="J118" s="38">
        <v>1032</v>
      </c>
      <c r="K118" s="38">
        <v>1033</v>
      </c>
      <c r="L118" s="38">
        <v>1240</v>
      </c>
      <c r="M118" s="38">
        <v>1312</v>
      </c>
      <c r="N118" s="38">
        <v>1272</v>
      </c>
      <c r="O118" s="38">
        <v>1169</v>
      </c>
      <c r="P118" s="38">
        <v>1307</v>
      </c>
      <c r="Q118" s="38">
        <v>1193</v>
      </c>
      <c r="R118" s="38">
        <v>1300</v>
      </c>
      <c r="S118" s="38">
        <v>1224</v>
      </c>
      <c r="T118" s="38">
        <v>1410</v>
      </c>
      <c r="U118" s="124">
        <v>1468</v>
      </c>
      <c r="V118" s="124">
        <v>1319</v>
      </c>
      <c r="W118" s="124">
        <v>1150</v>
      </c>
      <c r="X118" s="124">
        <v>1096</v>
      </c>
      <c r="Y118" s="124">
        <v>1308</v>
      </c>
      <c r="Z118" s="124">
        <v>1131</v>
      </c>
      <c r="AA118" s="124">
        <v>1143</v>
      </c>
      <c r="AB118" s="124">
        <v>1310</v>
      </c>
      <c r="AC118" s="124">
        <v>1161</v>
      </c>
      <c r="AD118" s="124">
        <v>823</v>
      </c>
      <c r="AE118" s="124">
        <v>1001</v>
      </c>
      <c r="AF118" s="124">
        <v>1254</v>
      </c>
      <c r="AG118" s="124">
        <v>1114</v>
      </c>
      <c r="AH118" s="124">
        <v>1292</v>
      </c>
      <c r="AI118" s="124">
        <v>1250</v>
      </c>
      <c r="AJ118" s="124">
        <v>1434</v>
      </c>
      <c r="AK118" s="124">
        <v>1442</v>
      </c>
      <c r="AL118" s="124">
        <v>1586</v>
      </c>
      <c r="AM118" s="124">
        <v>1396</v>
      </c>
      <c r="AN118" s="124">
        <v>1319</v>
      </c>
      <c r="AO118" s="124">
        <v>1157</v>
      </c>
      <c r="AP118" s="124">
        <v>1193</v>
      </c>
      <c r="AQ118" s="124">
        <v>1296</v>
      </c>
      <c r="AR118" s="124">
        <v>1025</v>
      </c>
      <c r="AS118" s="38">
        <v>736</v>
      </c>
      <c r="AT118" s="124">
        <v>785</v>
      </c>
      <c r="AU118" s="173"/>
    </row>
    <row r="119" spans="1:47" x14ac:dyDescent="0.2">
      <c r="A119" s="12" t="s">
        <v>308</v>
      </c>
      <c r="B119" s="38">
        <v>1777</v>
      </c>
      <c r="C119" s="38">
        <v>1889</v>
      </c>
      <c r="D119" s="38">
        <v>926</v>
      </c>
      <c r="E119" s="38">
        <v>1233</v>
      </c>
      <c r="F119" s="38">
        <v>1480</v>
      </c>
      <c r="G119" s="38">
        <v>1229</v>
      </c>
      <c r="H119" s="38">
        <v>1387</v>
      </c>
      <c r="I119" s="38">
        <v>1102</v>
      </c>
      <c r="J119" s="38">
        <v>1319</v>
      </c>
      <c r="K119" s="38">
        <v>1169</v>
      </c>
      <c r="L119" s="38">
        <v>1491</v>
      </c>
      <c r="M119" s="38">
        <v>1578</v>
      </c>
      <c r="N119" s="38">
        <v>1387</v>
      </c>
      <c r="O119" s="38">
        <v>1473</v>
      </c>
      <c r="P119" s="38">
        <v>1504</v>
      </c>
      <c r="Q119" s="38">
        <v>1186</v>
      </c>
      <c r="R119" s="38">
        <v>913</v>
      </c>
      <c r="S119" s="38">
        <v>1013</v>
      </c>
      <c r="T119" s="38">
        <v>934</v>
      </c>
      <c r="U119" s="124">
        <v>1258</v>
      </c>
      <c r="V119" s="124">
        <v>1112</v>
      </c>
      <c r="W119" s="124">
        <v>840</v>
      </c>
      <c r="X119" s="124">
        <v>760</v>
      </c>
      <c r="Y119" s="124">
        <v>861</v>
      </c>
      <c r="Z119" s="124">
        <v>1050</v>
      </c>
      <c r="AA119" s="124">
        <v>924</v>
      </c>
      <c r="AB119" s="124">
        <v>1347</v>
      </c>
      <c r="AC119" s="124">
        <v>1041</v>
      </c>
      <c r="AD119" s="124">
        <v>843</v>
      </c>
      <c r="AE119" s="124">
        <v>1294</v>
      </c>
      <c r="AF119" s="124">
        <v>1131</v>
      </c>
      <c r="AG119" s="124">
        <v>1285</v>
      </c>
      <c r="AH119" s="124">
        <v>1457</v>
      </c>
      <c r="AI119" s="124">
        <v>1313</v>
      </c>
      <c r="AJ119" s="124">
        <v>1336</v>
      </c>
      <c r="AK119" s="124">
        <v>1329</v>
      </c>
      <c r="AL119" s="124">
        <v>1411</v>
      </c>
      <c r="AM119" s="124">
        <v>1437</v>
      </c>
      <c r="AN119" s="124">
        <v>1407</v>
      </c>
      <c r="AO119" s="124">
        <v>1069</v>
      </c>
      <c r="AP119" s="124">
        <v>1417</v>
      </c>
      <c r="AQ119" s="124">
        <v>1397</v>
      </c>
      <c r="AR119" s="124">
        <v>958</v>
      </c>
      <c r="AS119" s="38">
        <v>1333</v>
      </c>
      <c r="AT119" s="124">
        <v>1424</v>
      </c>
      <c r="AU119" s="173"/>
    </row>
    <row r="120" spans="1:47" x14ac:dyDescent="0.2">
      <c r="A120" s="12" t="s">
        <v>321</v>
      </c>
      <c r="B120" s="38">
        <v>37</v>
      </c>
      <c r="C120" s="38">
        <v>43</v>
      </c>
      <c r="D120" s="38">
        <v>12</v>
      </c>
      <c r="E120" s="38" t="s">
        <v>152</v>
      </c>
      <c r="F120" s="38" t="s">
        <v>152</v>
      </c>
      <c r="G120" s="38" t="s">
        <v>152</v>
      </c>
      <c r="H120" s="38" t="s">
        <v>152</v>
      </c>
      <c r="I120" s="38" t="s">
        <v>152</v>
      </c>
      <c r="J120" s="38" t="s">
        <v>152</v>
      </c>
      <c r="K120" s="38" t="s">
        <v>152</v>
      </c>
      <c r="L120" s="38" t="s">
        <v>152</v>
      </c>
      <c r="M120" s="38" t="s">
        <v>152</v>
      </c>
      <c r="N120" s="38" t="s">
        <v>152</v>
      </c>
      <c r="O120" s="38" t="s">
        <v>152</v>
      </c>
      <c r="P120" s="38" t="s">
        <v>152</v>
      </c>
      <c r="Q120" s="38" t="s">
        <v>152</v>
      </c>
      <c r="R120" s="38">
        <v>27</v>
      </c>
      <c r="S120" s="38">
        <v>49</v>
      </c>
      <c r="T120" s="38">
        <v>0</v>
      </c>
      <c r="U120" s="124">
        <v>0</v>
      </c>
      <c r="V120" s="124">
        <v>0</v>
      </c>
      <c r="W120" s="124">
        <v>0</v>
      </c>
      <c r="X120" s="124">
        <v>0</v>
      </c>
      <c r="Y120" s="124">
        <v>0</v>
      </c>
      <c r="Z120" s="124">
        <v>0</v>
      </c>
      <c r="AA120" s="124">
        <v>0</v>
      </c>
      <c r="AB120" s="124">
        <v>0</v>
      </c>
      <c r="AC120" s="124">
        <v>0</v>
      </c>
      <c r="AD120" s="124">
        <v>0</v>
      </c>
      <c r="AE120" s="124">
        <v>0</v>
      </c>
      <c r="AF120" s="124">
        <v>0</v>
      </c>
      <c r="AG120" s="124">
        <v>0</v>
      </c>
      <c r="AH120" s="124">
        <v>0</v>
      </c>
      <c r="AI120" s="124">
        <v>0</v>
      </c>
      <c r="AJ120" s="124">
        <v>0</v>
      </c>
      <c r="AK120" s="124">
        <v>0</v>
      </c>
      <c r="AL120" s="124">
        <v>0</v>
      </c>
      <c r="AM120" s="124">
        <v>0</v>
      </c>
      <c r="AN120" s="124">
        <v>0</v>
      </c>
      <c r="AO120" s="124">
        <v>0</v>
      </c>
      <c r="AP120" s="124">
        <v>0</v>
      </c>
      <c r="AQ120" s="124">
        <v>0</v>
      </c>
      <c r="AR120" s="124">
        <v>0</v>
      </c>
      <c r="AS120" s="124">
        <v>0</v>
      </c>
      <c r="AT120" s="124">
        <v>0</v>
      </c>
      <c r="AU120" s="173"/>
    </row>
    <row r="121" spans="1:47" x14ac:dyDescent="0.2">
      <c r="A121" s="12" t="s">
        <v>322</v>
      </c>
      <c r="B121" s="38">
        <v>386</v>
      </c>
      <c r="C121" s="38">
        <v>575</v>
      </c>
      <c r="D121" s="38">
        <v>556</v>
      </c>
      <c r="E121" s="38">
        <v>622</v>
      </c>
      <c r="F121" s="38">
        <v>824</v>
      </c>
      <c r="G121" s="38">
        <v>833</v>
      </c>
      <c r="H121" s="38">
        <v>829</v>
      </c>
      <c r="I121" s="38">
        <v>621</v>
      </c>
      <c r="J121" s="38">
        <v>723</v>
      </c>
      <c r="K121" s="38">
        <v>743</v>
      </c>
      <c r="L121" s="38">
        <v>1017</v>
      </c>
      <c r="M121" s="38">
        <v>671</v>
      </c>
      <c r="N121" s="38">
        <v>838</v>
      </c>
      <c r="O121" s="38">
        <v>823</v>
      </c>
      <c r="P121" s="38">
        <v>497</v>
      </c>
      <c r="Q121" s="38">
        <v>351</v>
      </c>
      <c r="R121" s="38">
        <v>242</v>
      </c>
      <c r="S121" s="38">
        <v>270</v>
      </c>
      <c r="T121" s="38">
        <v>0</v>
      </c>
      <c r="U121" s="124">
        <v>0</v>
      </c>
      <c r="V121" s="124">
        <v>0</v>
      </c>
      <c r="W121" s="124">
        <v>0</v>
      </c>
      <c r="X121" s="124">
        <v>0</v>
      </c>
      <c r="Y121" s="124">
        <v>0</v>
      </c>
      <c r="Z121" s="124">
        <v>0</v>
      </c>
      <c r="AA121" s="124">
        <v>0</v>
      </c>
      <c r="AB121" s="124">
        <v>0</v>
      </c>
      <c r="AC121" s="124">
        <v>0</v>
      </c>
      <c r="AD121" s="124">
        <v>0</v>
      </c>
      <c r="AE121" s="124">
        <v>0</v>
      </c>
      <c r="AF121" s="124">
        <v>0</v>
      </c>
      <c r="AG121" s="124">
        <v>0</v>
      </c>
      <c r="AH121" s="124">
        <v>0</v>
      </c>
      <c r="AI121" s="124">
        <v>0</v>
      </c>
      <c r="AJ121" s="124">
        <v>0</v>
      </c>
      <c r="AK121" s="124">
        <v>0</v>
      </c>
      <c r="AL121" s="124">
        <v>0</v>
      </c>
      <c r="AM121" s="124">
        <v>0</v>
      </c>
      <c r="AN121" s="124">
        <v>0</v>
      </c>
      <c r="AO121" s="124">
        <v>0</v>
      </c>
      <c r="AP121" s="124">
        <v>0</v>
      </c>
      <c r="AQ121" s="124">
        <v>0</v>
      </c>
      <c r="AR121" s="124">
        <v>0</v>
      </c>
      <c r="AS121" s="124">
        <v>0</v>
      </c>
      <c r="AT121" s="124">
        <v>0</v>
      </c>
      <c r="AU121" s="173"/>
    </row>
    <row r="122" spans="1:47" x14ac:dyDescent="0.2">
      <c r="A122" s="12" t="s">
        <v>311</v>
      </c>
      <c r="B122" s="38">
        <v>1024</v>
      </c>
      <c r="C122" s="38">
        <v>1078</v>
      </c>
      <c r="D122" s="38">
        <v>810</v>
      </c>
      <c r="E122" s="38">
        <v>616</v>
      </c>
      <c r="F122" s="38">
        <v>654</v>
      </c>
      <c r="G122" s="38">
        <v>1032</v>
      </c>
      <c r="H122" s="38">
        <v>1000</v>
      </c>
      <c r="I122" s="38">
        <v>1127</v>
      </c>
      <c r="J122" s="38">
        <v>1137</v>
      </c>
      <c r="K122" s="38">
        <v>1139</v>
      </c>
      <c r="L122" s="38">
        <v>1308</v>
      </c>
      <c r="M122" s="38">
        <v>1368</v>
      </c>
      <c r="N122" s="38">
        <v>1437</v>
      </c>
      <c r="O122" s="38">
        <v>1269</v>
      </c>
      <c r="P122" s="38">
        <v>1103</v>
      </c>
      <c r="Q122" s="38">
        <v>1249</v>
      </c>
      <c r="R122" s="38">
        <v>1074</v>
      </c>
      <c r="S122" s="38">
        <v>1240</v>
      </c>
      <c r="T122" s="38">
        <v>1084</v>
      </c>
      <c r="U122" s="124">
        <v>1205</v>
      </c>
      <c r="V122" s="124">
        <v>1156</v>
      </c>
      <c r="W122" s="124">
        <v>857</v>
      </c>
      <c r="X122" s="124">
        <v>659</v>
      </c>
      <c r="Y122" s="124">
        <v>752</v>
      </c>
      <c r="Z122" s="124">
        <v>812</v>
      </c>
      <c r="AA122" s="124">
        <v>801</v>
      </c>
      <c r="AB122" s="124">
        <v>798</v>
      </c>
      <c r="AC122" s="124">
        <v>658</v>
      </c>
      <c r="AD122" s="124">
        <v>664</v>
      </c>
      <c r="AE122" s="124">
        <v>678</v>
      </c>
      <c r="AF122" s="124">
        <v>821</v>
      </c>
      <c r="AG122" s="124">
        <v>859</v>
      </c>
      <c r="AH122" s="124">
        <v>895</v>
      </c>
      <c r="AI122" s="124">
        <v>876</v>
      </c>
      <c r="AJ122" s="124">
        <v>834</v>
      </c>
      <c r="AK122" s="124">
        <v>939</v>
      </c>
      <c r="AL122" s="124">
        <v>951</v>
      </c>
      <c r="AM122" s="124">
        <v>891</v>
      </c>
      <c r="AN122" s="124">
        <v>946</v>
      </c>
      <c r="AO122" s="124">
        <v>679</v>
      </c>
      <c r="AP122" s="124">
        <v>906</v>
      </c>
      <c r="AQ122" s="124">
        <v>903</v>
      </c>
      <c r="AR122" s="124">
        <v>812</v>
      </c>
      <c r="AS122" s="38">
        <v>847</v>
      </c>
      <c r="AT122" s="124">
        <v>946</v>
      </c>
      <c r="AU122" s="173"/>
    </row>
    <row r="123" spans="1:47" x14ac:dyDescent="0.2">
      <c r="A123" s="12" t="s">
        <v>301</v>
      </c>
      <c r="B123" s="38">
        <f t="shared" ref="B123:G123" si="52">SUM(B117:B122)</f>
        <v>5832</v>
      </c>
      <c r="C123" s="38">
        <f t="shared" si="52"/>
        <v>6244</v>
      </c>
      <c r="D123" s="38">
        <f t="shared" si="52"/>
        <v>4074</v>
      </c>
      <c r="E123" s="38">
        <f t="shared" si="52"/>
        <v>3892</v>
      </c>
      <c r="F123" s="38">
        <f t="shared" si="52"/>
        <v>4338</v>
      </c>
      <c r="G123" s="38">
        <f t="shared" si="52"/>
        <v>3951</v>
      </c>
      <c r="H123" s="38">
        <f>SUM(H117:H122)</f>
        <v>5121</v>
      </c>
      <c r="I123" s="38">
        <f>SUM(I117:I122)</f>
        <v>4739</v>
      </c>
      <c r="J123" s="38">
        <f>SUM(J117:J122)</f>
        <v>5091</v>
      </c>
      <c r="K123" s="38">
        <f>SUM(K117:K122)</f>
        <v>4996</v>
      </c>
      <c r="L123" s="38">
        <f t="shared" ref="L123:AO123" si="53">SUM(L117:L122)</f>
        <v>6000</v>
      </c>
      <c r="M123" s="38">
        <f>SUM(M117:M122)</f>
        <v>5894</v>
      </c>
      <c r="N123" s="38">
        <f t="shared" si="53"/>
        <v>5888</v>
      </c>
      <c r="O123" s="38">
        <f t="shared" si="53"/>
        <v>5658</v>
      </c>
      <c r="P123" s="38">
        <f t="shared" si="53"/>
        <v>5357</v>
      </c>
      <c r="Q123" s="38">
        <f t="shared" si="53"/>
        <v>4694</v>
      </c>
      <c r="R123" s="38">
        <f>SUM(R117:R122)</f>
        <v>4588</v>
      </c>
      <c r="S123" s="38">
        <f t="shared" si="53"/>
        <v>5104</v>
      </c>
      <c r="T123" s="38">
        <f t="shared" si="53"/>
        <v>4729</v>
      </c>
      <c r="U123" s="38">
        <f t="shared" si="53"/>
        <v>5390</v>
      </c>
      <c r="V123" s="38">
        <f t="shared" si="53"/>
        <v>4793</v>
      </c>
      <c r="W123" s="38">
        <f t="shared" si="53"/>
        <v>3671</v>
      </c>
      <c r="X123" s="38">
        <f t="shared" si="53"/>
        <v>3309</v>
      </c>
      <c r="Y123" s="38">
        <f t="shared" si="53"/>
        <v>3565</v>
      </c>
      <c r="Z123" s="38">
        <f t="shared" si="53"/>
        <v>3831</v>
      </c>
      <c r="AA123" s="38">
        <f t="shared" si="53"/>
        <v>3701</v>
      </c>
      <c r="AB123" s="38">
        <f t="shared" si="53"/>
        <v>4344</v>
      </c>
      <c r="AC123" s="38">
        <f t="shared" si="53"/>
        <v>3625</v>
      </c>
      <c r="AD123" s="38">
        <f t="shared" si="53"/>
        <v>3088</v>
      </c>
      <c r="AE123" s="38">
        <f t="shared" si="53"/>
        <v>3936</v>
      </c>
      <c r="AF123" s="38">
        <f t="shared" si="53"/>
        <v>4029</v>
      </c>
      <c r="AG123" s="38">
        <f t="shared" si="53"/>
        <v>4087</v>
      </c>
      <c r="AH123" s="38">
        <f t="shared" si="53"/>
        <v>4588</v>
      </c>
      <c r="AI123" s="38">
        <f t="shared" si="53"/>
        <v>4300</v>
      </c>
      <c r="AJ123" s="38">
        <f t="shared" si="53"/>
        <v>4521</v>
      </c>
      <c r="AK123" s="38">
        <f t="shared" si="53"/>
        <v>4668</v>
      </c>
      <c r="AL123" s="38">
        <f t="shared" si="53"/>
        <v>4875</v>
      </c>
      <c r="AM123" s="38">
        <f t="shared" si="53"/>
        <v>4759</v>
      </c>
      <c r="AN123" s="124">
        <f t="shared" si="53"/>
        <v>4503</v>
      </c>
      <c r="AO123" s="124">
        <f t="shared" si="53"/>
        <v>3651</v>
      </c>
      <c r="AP123" s="38">
        <f>SUM(AP117:AP122)</f>
        <v>4258</v>
      </c>
      <c r="AQ123" s="38">
        <f t="shared" ref="AQ123" si="54">SUM(AQ117:AQ122)</f>
        <v>4391</v>
      </c>
      <c r="AR123" s="38">
        <f>SUM(AR117:AR122)</f>
        <v>3383</v>
      </c>
      <c r="AS123" s="38">
        <f>SUM(AS117:AS122)</f>
        <v>3519</v>
      </c>
      <c r="AT123" s="124">
        <f>SUM(AT117:AT122)</f>
        <v>3909</v>
      </c>
      <c r="AU123" s="173"/>
    </row>
    <row r="124" spans="1:47" x14ac:dyDescent="0.2">
      <c r="A124" s="12"/>
      <c r="B124" s="38"/>
      <c r="C124" s="38"/>
      <c r="D124" s="38"/>
      <c r="E124" s="38"/>
      <c r="F124" s="38"/>
      <c r="G124" s="38"/>
      <c r="H124" s="38"/>
      <c r="I124" s="38"/>
      <c r="J124" s="38"/>
      <c r="K124" s="38"/>
      <c r="L124" s="38"/>
      <c r="M124" s="38"/>
      <c r="N124" s="38"/>
      <c r="O124" s="38"/>
      <c r="P124" s="38"/>
      <c r="Q124" s="38"/>
      <c r="R124" s="38"/>
      <c r="S124" s="38"/>
      <c r="T124" s="38"/>
      <c r="U124" s="124"/>
      <c r="V124" s="124"/>
      <c r="W124" s="124"/>
      <c r="X124" s="124"/>
      <c r="Y124" s="124"/>
      <c r="Z124" s="124"/>
      <c r="AA124" s="124"/>
      <c r="AB124" s="124"/>
      <c r="AC124" s="124"/>
      <c r="AD124" s="124"/>
      <c r="AE124" s="124"/>
      <c r="AF124" s="124"/>
      <c r="AG124" s="124"/>
      <c r="AH124" s="124"/>
      <c r="AI124" s="124"/>
      <c r="AJ124" s="124"/>
      <c r="AK124" s="124"/>
      <c r="AL124" s="124"/>
      <c r="AM124" s="149"/>
      <c r="AN124" s="149"/>
      <c r="AO124" s="149"/>
      <c r="AP124" s="149"/>
      <c r="AQ124" s="149"/>
      <c r="AR124" s="149"/>
      <c r="AS124" s="149"/>
      <c r="AT124" s="149"/>
    </row>
    <row r="125" spans="1:47" x14ac:dyDescent="0.2">
      <c r="A125" s="12" t="s">
        <v>312</v>
      </c>
      <c r="B125" s="38"/>
      <c r="C125" s="38"/>
      <c r="D125" s="38"/>
      <c r="E125" s="38"/>
      <c r="F125" s="38"/>
      <c r="G125" s="38"/>
      <c r="H125" s="38"/>
      <c r="I125" s="38"/>
      <c r="J125" s="38"/>
      <c r="K125" s="38"/>
      <c r="L125" s="38"/>
      <c r="M125" s="38"/>
      <c r="N125" s="38"/>
      <c r="O125" s="38"/>
      <c r="P125" s="38"/>
      <c r="Q125" s="38"/>
      <c r="R125" s="38"/>
      <c r="S125" s="38"/>
      <c r="T125" s="38"/>
      <c r="U125" s="124"/>
      <c r="V125" s="124"/>
      <c r="W125" s="124"/>
      <c r="X125" s="124"/>
      <c r="Y125" s="124"/>
      <c r="Z125" s="124"/>
      <c r="AA125" s="124"/>
      <c r="AB125" s="124"/>
      <c r="AC125" s="124"/>
      <c r="AD125" s="124"/>
      <c r="AE125" s="124"/>
      <c r="AF125" s="124"/>
      <c r="AG125" s="124"/>
      <c r="AH125" s="124"/>
      <c r="AI125" s="124"/>
      <c r="AJ125" s="124"/>
      <c r="AK125" s="124"/>
      <c r="AL125" s="124"/>
      <c r="AM125" s="149"/>
      <c r="AN125" s="149"/>
      <c r="AO125" s="149"/>
      <c r="AP125" s="149"/>
      <c r="AQ125" s="149"/>
      <c r="AR125" s="149"/>
      <c r="AS125" s="149"/>
      <c r="AT125" s="149"/>
    </row>
    <row r="126" spans="1:47" x14ac:dyDescent="0.2">
      <c r="A126" s="12" t="s">
        <v>313</v>
      </c>
      <c r="B126" s="38">
        <v>5885</v>
      </c>
      <c r="C126" s="38">
        <v>7254</v>
      </c>
      <c r="D126" s="38">
        <v>3852</v>
      </c>
      <c r="E126" s="38">
        <v>3938</v>
      </c>
      <c r="F126" s="38">
        <v>5088</v>
      </c>
      <c r="G126" s="38">
        <v>4669</v>
      </c>
      <c r="H126" s="38">
        <v>4832</v>
      </c>
      <c r="I126" s="38">
        <v>6091</v>
      </c>
      <c r="J126" s="38">
        <v>5300</v>
      </c>
      <c r="K126" s="38">
        <v>4614</v>
      </c>
      <c r="L126" s="38">
        <v>4334</v>
      </c>
      <c r="M126" s="38">
        <v>4029</v>
      </c>
      <c r="N126" s="38">
        <v>4230</v>
      </c>
      <c r="O126" s="38">
        <v>3536</v>
      </c>
      <c r="P126" s="38">
        <v>3948</v>
      </c>
      <c r="Q126" s="38">
        <v>3192</v>
      </c>
      <c r="R126" s="38">
        <v>2419</v>
      </c>
      <c r="S126" s="38">
        <v>2970</v>
      </c>
      <c r="T126" s="38">
        <v>2723</v>
      </c>
      <c r="U126" s="124">
        <v>3456</v>
      </c>
      <c r="V126" s="124">
        <v>3145</v>
      </c>
      <c r="W126" s="124">
        <v>1596</v>
      </c>
      <c r="X126" s="124">
        <v>1960</v>
      </c>
      <c r="Y126" s="124">
        <v>1959</v>
      </c>
      <c r="Z126" s="124">
        <v>1995</v>
      </c>
      <c r="AA126" s="124">
        <v>1636</v>
      </c>
      <c r="AB126" s="124">
        <v>1556</v>
      </c>
      <c r="AC126" s="124">
        <v>1388</v>
      </c>
      <c r="AD126" s="124">
        <v>1052</v>
      </c>
      <c r="AE126" s="124">
        <v>1106</v>
      </c>
      <c r="AF126" s="124">
        <v>1137</v>
      </c>
      <c r="AG126" s="124">
        <v>1172</v>
      </c>
      <c r="AH126" s="124">
        <v>1066</v>
      </c>
      <c r="AI126" s="124">
        <v>1055</v>
      </c>
      <c r="AJ126" s="124">
        <v>959</v>
      </c>
      <c r="AK126" s="124">
        <v>1104</v>
      </c>
      <c r="AL126" s="124">
        <v>1137</v>
      </c>
      <c r="AM126" s="124">
        <v>1066</v>
      </c>
      <c r="AN126" s="124">
        <v>1200</v>
      </c>
      <c r="AO126" s="124">
        <v>1108</v>
      </c>
      <c r="AP126" s="124">
        <v>1090</v>
      </c>
      <c r="AQ126" s="124">
        <v>1076</v>
      </c>
      <c r="AR126" s="124">
        <v>878</v>
      </c>
      <c r="AS126" s="38">
        <v>1126</v>
      </c>
      <c r="AT126" s="124">
        <v>1322</v>
      </c>
      <c r="AU126" s="173"/>
    </row>
    <row r="127" spans="1:47" x14ac:dyDescent="0.2">
      <c r="A127" s="12" t="s">
        <v>314</v>
      </c>
      <c r="B127" s="38">
        <v>3296</v>
      </c>
      <c r="C127" s="38">
        <v>3754</v>
      </c>
      <c r="D127" s="38">
        <v>3182</v>
      </c>
      <c r="E127" s="38">
        <v>3487</v>
      </c>
      <c r="F127" s="38">
        <v>3312</v>
      </c>
      <c r="G127" s="38">
        <v>3496</v>
      </c>
      <c r="H127" s="38">
        <v>4112</v>
      </c>
      <c r="I127" s="38">
        <v>4277</v>
      </c>
      <c r="J127" s="38">
        <v>4084</v>
      </c>
      <c r="K127" s="38">
        <v>4038</v>
      </c>
      <c r="L127" s="38">
        <v>4836</v>
      </c>
      <c r="M127" s="38">
        <v>5070</v>
      </c>
      <c r="N127" s="38">
        <v>4900</v>
      </c>
      <c r="O127" s="38">
        <v>4733</v>
      </c>
      <c r="P127" s="38">
        <v>5608</v>
      </c>
      <c r="Q127" s="38">
        <v>4728</v>
      </c>
      <c r="R127" s="38">
        <v>4563</v>
      </c>
      <c r="S127" s="38">
        <v>5210</v>
      </c>
      <c r="T127" s="38">
        <v>5501</v>
      </c>
      <c r="U127" s="124">
        <v>5103</v>
      </c>
      <c r="V127" s="124">
        <v>5596</v>
      </c>
      <c r="W127" s="124">
        <v>4636</v>
      </c>
      <c r="X127" s="124">
        <v>5103</v>
      </c>
      <c r="Y127" s="124">
        <v>6044</v>
      </c>
      <c r="Z127" s="124">
        <v>5510</v>
      </c>
      <c r="AA127" s="124">
        <v>4526</v>
      </c>
      <c r="AB127" s="124">
        <v>5928</v>
      </c>
      <c r="AC127" s="124">
        <v>5745</v>
      </c>
      <c r="AD127" s="124">
        <v>3619</v>
      </c>
      <c r="AE127" s="124">
        <v>5591</v>
      </c>
      <c r="AF127" s="124">
        <v>5270</v>
      </c>
      <c r="AG127" s="124">
        <v>6054</v>
      </c>
      <c r="AH127" s="124">
        <v>6425</v>
      </c>
      <c r="AI127" s="124">
        <v>6299</v>
      </c>
      <c r="AJ127" s="124">
        <v>6304</v>
      </c>
      <c r="AK127" s="124">
        <v>6588</v>
      </c>
      <c r="AL127" s="124">
        <v>7038</v>
      </c>
      <c r="AM127" s="124">
        <v>6507</v>
      </c>
      <c r="AN127" s="124">
        <v>6440</v>
      </c>
      <c r="AO127" s="124">
        <v>6474</v>
      </c>
      <c r="AP127" s="124">
        <v>6804</v>
      </c>
      <c r="AQ127" s="124">
        <v>6755</v>
      </c>
      <c r="AR127" s="124">
        <v>6477</v>
      </c>
      <c r="AS127" s="38">
        <v>6984</v>
      </c>
      <c r="AT127" s="124">
        <v>6924</v>
      </c>
      <c r="AU127" s="173"/>
    </row>
    <row r="128" spans="1:47" x14ac:dyDescent="0.2">
      <c r="A128" s="12" t="s">
        <v>315</v>
      </c>
      <c r="B128" s="38">
        <v>197</v>
      </c>
      <c r="C128" s="38">
        <v>300</v>
      </c>
      <c r="D128" s="38">
        <v>251</v>
      </c>
      <c r="E128" s="38">
        <v>316</v>
      </c>
      <c r="F128" s="38">
        <v>307</v>
      </c>
      <c r="G128" s="38">
        <v>319</v>
      </c>
      <c r="H128" s="38">
        <v>374</v>
      </c>
      <c r="I128" s="38">
        <v>422</v>
      </c>
      <c r="J128" s="38">
        <v>376</v>
      </c>
      <c r="K128" s="38">
        <v>391</v>
      </c>
      <c r="L128" s="38">
        <v>488</v>
      </c>
      <c r="M128" s="38">
        <v>525</v>
      </c>
      <c r="N128" s="38">
        <v>394</v>
      </c>
      <c r="O128" s="38">
        <v>372</v>
      </c>
      <c r="P128" s="38">
        <v>456</v>
      </c>
      <c r="Q128" s="38">
        <v>404</v>
      </c>
      <c r="R128" s="38">
        <v>416</v>
      </c>
      <c r="S128" s="38">
        <v>494</v>
      </c>
      <c r="T128" s="38">
        <v>471</v>
      </c>
      <c r="U128" s="124">
        <v>494</v>
      </c>
      <c r="V128" s="124">
        <v>412</v>
      </c>
      <c r="W128" s="124">
        <v>290</v>
      </c>
      <c r="X128" s="124">
        <v>301</v>
      </c>
      <c r="Y128" s="124">
        <v>301</v>
      </c>
      <c r="Z128" s="124">
        <v>396</v>
      </c>
      <c r="AA128" s="124">
        <v>311</v>
      </c>
      <c r="AB128" s="124">
        <v>394</v>
      </c>
      <c r="AC128" s="124">
        <v>351</v>
      </c>
      <c r="AD128" s="124">
        <v>195</v>
      </c>
      <c r="AE128" s="124">
        <v>395</v>
      </c>
      <c r="AF128" s="124">
        <v>374</v>
      </c>
      <c r="AG128" s="124">
        <v>387</v>
      </c>
      <c r="AH128" s="124">
        <v>418</v>
      </c>
      <c r="AI128" s="124">
        <v>357</v>
      </c>
      <c r="AJ128" s="124">
        <v>248</v>
      </c>
      <c r="AK128" s="124">
        <v>297</v>
      </c>
      <c r="AL128" s="124">
        <v>428</v>
      </c>
      <c r="AM128" s="124">
        <v>334</v>
      </c>
      <c r="AN128" s="124">
        <v>366</v>
      </c>
      <c r="AO128" s="124">
        <v>377</v>
      </c>
      <c r="AP128" s="124">
        <v>384</v>
      </c>
      <c r="AQ128" s="124">
        <v>394</v>
      </c>
      <c r="AR128" s="124">
        <v>268</v>
      </c>
      <c r="AS128" s="38">
        <v>379</v>
      </c>
      <c r="AT128" s="124">
        <v>426</v>
      </c>
      <c r="AU128" s="173"/>
    </row>
    <row r="129" spans="1:47" x14ac:dyDescent="0.2">
      <c r="A129" s="12" t="s">
        <v>323</v>
      </c>
      <c r="B129" s="38" t="s">
        <v>152</v>
      </c>
      <c r="C129" s="38" t="s">
        <v>152</v>
      </c>
      <c r="D129" s="38" t="s">
        <v>152</v>
      </c>
      <c r="E129" s="38" t="s">
        <v>152</v>
      </c>
      <c r="F129" s="38" t="s">
        <v>152</v>
      </c>
      <c r="G129" s="38" t="s">
        <v>152</v>
      </c>
      <c r="H129" s="38" t="s">
        <v>152</v>
      </c>
      <c r="I129" s="38" t="s">
        <v>152</v>
      </c>
      <c r="J129" s="38" t="s">
        <v>152</v>
      </c>
      <c r="K129" s="38" t="s">
        <v>152</v>
      </c>
      <c r="L129" s="38" t="s">
        <v>152</v>
      </c>
      <c r="M129" s="38" t="s">
        <v>152</v>
      </c>
      <c r="N129" s="38" t="s">
        <v>152</v>
      </c>
      <c r="O129" s="38" t="s">
        <v>152</v>
      </c>
      <c r="P129" s="38" t="s">
        <v>152</v>
      </c>
      <c r="Q129" s="38" t="s">
        <v>152</v>
      </c>
      <c r="R129" s="38">
        <v>461</v>
      </c>
      <c r="S129" s="38">
        <v>595</v>
      </c>
      <c r="T129" s="38">
        <v>1192</v>
      </c>
      <c r="U129" s="124">
        <v>825</v>
      </c>
      <c r="V129" s="124">
        <v>803</v>
      </c>
      <c r="W129" s="124">
        <v>253</v>
      </c>
      <c r="X129" s="124">
        <v>140</v>
      </c>
      <c r="Y129" s="124">
        <v>161</v>
      </c>
      <c r="Z129" s="124">
        <v>144</v>
      </c>
      <c r="AA129" s="124">
        <v>69</v>
      </c>
      <c r="AB129" s="124">
        <v>74</v>
      </c>
      <c r="AC129" s="124">
        <v>84</v>
      </c>
      <c r="AD129" s="124">
        <v>67</v>
      </c>
      <c r="AE129" s="124">
        <v>0</v>
      </c>
      <c r="AF129" s="124">
        <v>0</v>
      </c>
      <c r="AG129" s="124">
        <v>0</v>
      </c>
      <c r="AH129" s="124">
        <v>0</v>
      </c>
      <c r="AI129" s="124">
        <v>0</v>
      </c>
      <c r="AJ129" s="124">
        <v>0</v>
      </c>
      <c r="AK129" s="124">
        <v>0</v>
      </c>
      <c r="AL129" s="124">
        <v>91</v>
      </c>
      <c r="AM129" s="124">
        <v>87</v>
      </c>
      <c r="AN129" s="124">
        <v>87</v>
      </c>
      <c r="AO129" s="124">
        <v>109</v>
      </c>
      <c r="AP129" s="124">
        <v>91</v>
      </c>
      <c r="AQ129" s="124">
        <v>87</v>
      </c>
      <c r="AR129" s="124">
        <v>88</v>
      </c>
      <c r="AS129" s="38">
        <v>99</v>
      </c>
      <c r="AT129" s="124">
        <v>94</v>
      </c>
      <c r="AU129" s="173"/>
    </row>
    <row r="130" spans="1:47" x14ac:dyDescent="0.2">
      <c r="A130" s="12" t="s">
        <v>301</v>
      </c>
      <c r="B130" s="38">
        <f>SUM(B126:B128)</f>
        <v>9378</v>
      </c>
      <c r="C130" s="38">
        <f>SUM(C126:C128)</f>
        <v>11308</v>
      </c>
      <c r="D130" s="38">
        <f>SUM(D126:D128)</f>
        <v>7285</v>
      </c>
      <c r="E130" s="38">
        <f>SUM(E126:E128)</f>
        <v>7741</v>
      </c>
      <c r="F130" s="38">
        <f>SUM(F126:F128)</f>
        <v>8707</v>
      </c>
      <c r="G130" s="38">
        <f>SUM(G126:G129)</f>
        <v>8484</v>
      </c>
      <c r="H130" s="38">
        <f>SUM(H126:H129)</f>
        <v>9318</v>
      </c>
      <c r="I130" s="38">
        <f>SUM(I126:I129)</f>
        <v>10790</v>
      </c>
      <c r="J130" s="38">
        <f>SUM(J126:J129)</f>
        <v>9760</v>
      </c>
      <c r="K130" s="38">
        <f>SUM(K126:K129)</f>
        <v>9043</v>
      </c>
      <c r="L130" s="38">
        <f t="shared" ref="L130:AO130" si="55">SUM(L126:L129)</f>
        <v>9658</v>
      </c>
      <c r="M130" s="38">
        <f t="shared" si="55"/>
        <v>9624</v>
      </c>
      <c r="N130" s="38">
        <f t="shared" si="55"/>
        <v>9524</v>
      </c>
      <c r="O130" s="38">
        <f t="shared" si="55"/>
        <v>8641</v>
      </c>
      <c r="P130" s="38">
        <f t="shared" si="55"/>
        <v>10012</v>
      </c>
      <c r="Q130" s="38">
        <f t="shared" si="55"/>
        <v>8324</v>
      </c>
      <c r="R130" s="38">
        <f t="shared" si="55"/>
        <v>7859</v>
      </c>
      <c r="S130" s="38">
        <f t="shared" si="55"/>
        <v>9269</v>
      </c>
      <c r="T130" s="38">
        <f t="shared" si="55"/>
        <v>9887</v>
      </c>
      <c r="U130" s="38">
        <f t="shared" si="55"/>
        <v>9878</v>
      </c>
      <c r="V130" s="38">
        <f t="shared" si="55"/>
        <v>9956</v>
      </c>
      <c r="W130" s="38">
        <f t="shared" si="55"/>
        <v>6775</v>
      </c>
      <c r="X130" s="38">
        <f t="shared" si="55"/>
        <v>7504</v>
      </c>
      <c r="Y130" s="38">
        <f t="shared" si="55"/>
        <v>8465</v>
      </c>
      <c r="Z130" s="38">
        <f t="shared" si="55"/>
        <v>8045</v>
      </c>
      <c r="AA130" s="38">
        <f t="shared" si="55"/>
        <v>6542</v>
      </c>
      <c r="AB130" s="38">
        <f t="shared" si="55"/>
        <v>7952</v>
      </c>
      <c r="AC130" s="38">
        <f t="shared" si="55"/>
        <v>7568</v>
      </c>
      <c r="AD130" s="38">
        <f t="shared" si="55"/>
        <v>4933</v>
      </c>
      <c r="AE130" s="38">
        <f t="shared" si="55"/>
        <v>7092</v>
      </c>
      <c r="AF130" s="38">
        <f t="shared" si="55"/>
        <v>6781</v>
      </c>
      <c r="AG130" s="38">
        <f t="shared" si="55"/>
        <v>7613</v>
      </c>
      <c r="AH130" s="38">
        <f t="shared" si="55"/>
        <v>7909</v>
      </c>
      <c r="AI130" s="38">
        <f t="shared" si="55"/>
        <v>7711</v>
      </c>
      <c r="AJ130" s="38">
        <f t="shared" si="55"/>
        <v>7511</v>
      </c>
      <c r="AK130" s="38">
        <f t="shared" si="55"/>
        <v>7989</v>
      </c>
      <c r="AL130" s="38">
        <f t="shared" si="55"/>
        <v>8694</v>
      </c>
      <c r="AM130" s="38">
        <f t="shared" si="55"/>
        <v>7994</v>
      </c>
      <c r="AN130" s="124">
        <f t="shared" si="55"/>
        <v>8093</v>
      </c>
      <c r="AO130" s="124">
        <f t="shared" si="55"/>
        <v>8068</v>
      </c>
      <c r="AP130" s="38">
        <f>SUM(AP126:AP129)</f>
        <v>8369</v>
      </c>
      <c r="AQ130" s="38">
        <f t="shared" ref="AQ130" si="56">SUM(AQ126:AQ129)</f>
        <v>8312</v>
      </c>
      <c r="AR130" s="38">
        <f>SUM(AR126:AR129)</f>
        <v>7711</v>
      </c>
      <c r="AS130" s="38">
        <f>SUM(AS126:AS129)</f>
        <v>8588</v>
      </c>
      <c r="AT130" s="124">
        <f>SUM(AT126:AT129)</f>
        <v>8766</v>
      </c>
      <c r="AU130" s="173"/>
    </row>
    <row r="131" spans="1:47" x14ac:dyDescent="0.2">
      <c r="A131" s="12"/>
      <c r="B131" s="38"/>
      <c r="C131" s="38"/>
      <c r="D131" s="38"/>
      <c r="E131" s="38"/>
      <c r="F131" s="38"/>
      <c r="G131" s="38"/>
      <c r="H131" s="38"/>
      <c r="I131" s="38"/>
      <c r="J131" s="38"/>
      <c r="K131" s="38"/>
      <c r="L131" s="38"/>
      <c r="M131" s="38"/>
      <c r="N131" s="38"/>
      <c r="O131" s="38"/>
      <c r="P131" s="38"/>
      <c r="Q131" s="38"/>
      <c r="R131" s="38"/>
      <c r="S131" s="38"/>
      <c r="T131" s="38"/>
      <c r="U131" s="124"/>
      <c r="V131" s="124"/>
      <c r="W131" s="124"/>
      <c r="X131" s="124"/>
      <c r="Y131" s="124"/>
      <c r="Z131" s="124"/>
      <c r="AA131" s="124"/>
      <c r="AB131" s="124"/>
      <c r="AC131" s="124"/>
      <c r="AD131" s="124"/>
      <c r="AE131" s="124"/>
      <c r="AF131" s="124"/>
      <c r="AG131" s="124"/>
      <c r="AH131" s="124"/>
      <c r="AI131" s="124"/>
      <c r="AJ131" s="124"/>
      <c r="AK131" s="124"/>
      <c r="AL131" s="124"/>
      <c r="AM131" s="149"/>
      <c r="AN131" s="149"/>
      <c r="AO131" s="149"/>
      <c r="AP131" s="149"/>
      <c r="AQ131" s="149"/>
      <c r="AR131" s="149"/>
      <c r="AS131" s="149"/>
      <c r="AT131" s="149"/>
    </row>
    <row r="132" spans="1:47" x14ac:dyDescent="0.2">
      <c r="A132" s="12" t="s">
        <v>317</v>
      </c>
      <c r="B132" s="38">
        <f>B134-B109-B114-B123-B130</f>
        <v>423</v>
      </c>
      <c r="C132" s="38">
        <f>C134-C109-C114-C123-C130</f>
        <v>574</v>
      </c>
      <c r="D132" s="38">
        <f>D134-D109-D114-D123-D130</f>
        <v>468</v>
      </c>
      <c r="E132" s="38">
        <f>E134-E109-E114-E123-E130</f>
        <v>95</v>
      </c>
      <c r="F132" s="38">
        <f>F134-F109-F114-F123-F130</f>
        <v>122</v>
      </c>
      <c r="G132" s="38" t="s">
        <v>152</v>
      </c>
      <c r="H132" s="38" t="s">
        <v>152</v>
      </c>
      <c r="I132" s="38">
        <v>2</v>
      </c>
      <c r="J132" s="38">
        <v>9</v>
      </c>
      <c r="K132" s="38">
        <v>44</v>
      </c>
      <c r="L132" s="38">
        <v>65</v>
      </c>
      <c r="M132" s="38">
        <v>77</v>
      </c>
      <c r="N132" s="38">
        <v>72</v>
      </c>
      <c r="O132" s="38">
        <v>103</v>
      </c>
      <c r="P132" s="38">
        <v>452</v>
      </c>
      <c r="Q132" s="38">
        <v>484</v>
      </c>
      <c r="R132" s="38">
        <v>0</v>
      </c>
      <c r="S132" s="38">
        <v>0</v>
      </c>
      <c r="T132" s="38">
        <v>0</v>
      </c>
      <c r="U132" s="124">
        <v>0</v>
      </c>
      <c r="V132" s="124">
        <v>0</v>
      </c>
      <c r="W132" s="124">
        <v>0</v>
      </c>
      <c r="X132" s="124">
        <v>0</v>
      </c>
      <c r="Y132" s="124">
        <v>0</v>
      </c>
      <c r="Z132" s="124">
        <v>0</v>
      </c>
      <c r="AA132" s="124">
        <v>0</v>
      </c>
      <c r="AB132" s="124">
        <v>0</v>
      </c>
      <c r="AC132" s="124">
        <v>0</v>
      </c>
      <c r="AD132" s="124">
        <v>0</v>
      </c>
      <c r="AE132" s="124">
        <v>0</v>
      </c>
      <c r="AF132" s="124">
        <v>0</v>
      </c>
      <c r="AG132" s="124">
        <v>0</v>
      </c>
      <c r="AH132" s="124">
        <v>0</v>
      </c>
      <c r="AI132" s="124">
        <v>0</v>
      </c>
      <c r="AJ132" s="124">
        <v>0</v>
      </c>
      <c r="AK132" s="124">
        <v>0</v>
      </c>
      <c r="AL132" s="124">
        <v>0</v>
      </c>
      <c r="AM132" s="124">
        <v>0</v>
      </c>
      <c r="AN132" s="124">
        <v>0</v>
      </c>
      <c r="AO132" s="124">
        <v>0</v>
      </c>
      <c r="AP132" s="124">
        <v>0</v>
      </c>
      <c r="AQ132" s="124">
        <v>0</v>
      </c>
      <c r="AR132" s="124">
        <v>0</v>
      </c>
      <c r="AS132" s="124">
        <v>0</v>
      </c>
      <c r="AT132" s="124">
        <v>0</v>
      </c>
    </row>
    <row r="133" spans="1:47" x14ac:dyDescent="0.2">
      <c r="A133" s="12"/>
      <c r="B133" s="38"/>
      <c r="C133" s="38"/>
      <c r="D133" s="38"/>
      <c r="E133" s="38"/>
      <c r="F133" s="38"/>
      <c r="G133" s="38"/>
      <c r="H133" s="38"/>
      <c r="I133" s="38"/>
      <c r="J133" s="38"/>
      <c r="K133" s="38"/>
      <c r="L133" s="38"/>
      <c r="M133" s="38"/>
      <c r="N133" s="38"/>
      <c r="O133" s="38"/>
      <c r="P133" s="38"/>
      <c r="Q133" s="38"/>
      <c r="R133" s="38"/>
      <c r="S133" s="38"/>
      <c r="T133" s="38"/>
      <c r="U133" s="124"/>
      <c r="V133" s="124"/>
      <c r="W133" s="124"/>
      <c r="X133" s="124"/>
      <c r="Y133" s="124"/>
      <c r="Z133" s="124"/>
      <c r="AA133" s="124"/>
      <c r="AB133" s="124"/>
      <c r="AC133" s="124"/>
      <c r="AD133" s="124"/>
      <c r="AE133" s="124"/>
      <c r="AF133" s="124"/>
      <c r="AG133" s="124"/>
      <c r="AH133" s="124"/>
      <c r="AI133" s="124"/>
      <c r="AJ133" s="124"/>
      <c r="AK133" s="124"/>
      <c r="AL133" s="124"/>
      <c r="AM133" s="149"/>
      <c r="AN133" s="149"/>
      <c r="AO133" s="149"/>
      <c r="AP133" s="149"/>
      <c r="AQ133" s="149"/>
      <c r="AR133" s="149"/>
      <c r="AS133" s="149"/>
      <c r="AT133" s="149"/>
    </row>
    <row r="134" spans="1:47" x14ac:dyDescent="0.2">
      <c r="A134" s="39" t="s">
        <v>318</v>
      </c>
      <c r="B134" s="150">
        <v>23502</v>
      </c>
      <c r="C134" s="150">
        <v>27538</v>
      </c>
      <c r="D134" s="150">
        <v>20894</v>
      </c>
      <c r="E134" s="150">
        <v>20992</v>
      </c>
      <c r="F134" s="150">
        <v>22134</v>
      </c>
      <c r="G134" s="150">
        <v>22529</v>
      </c>
      <c r="H134" s="150">
        <v>25162</v>
      </c>
      <c r="I134" s="150">
        <v>28072</v>
      </c>
      <c r="J134" s="150">
        <v>24810</v>
      </c>
      <c r="K134" s="150">
        <v>25131</v>
      </c>
      <c r="L134" s="150">
        <v>27513</v>
      </c>
      <c r="M134" s="150">
        <v>28203</v>
      </c>
      <c r="N134" s="150">
        <v>29143</v>
      </c>
      <c r="O134" s="150">
        <v>26249</v>
      </c>
      <c r="P134" s="150">
        <v>31853</v>
      </c>
      <c r="Q134" s="150">
        <v>28065</v>
      </c>
      <c r="R134" s="150">
        <v>26680</v>
      </c>
      <c r="S134" s="150">
        <v>29886</v>
      </c>
      <c r="T134" s="150">
        <v>32499</v>
      </c>
      <c r="U134" s="150">
        <v>33420</v>
      </c>
      <c r="V134" s="150">
        <v>32541</v>
      </c>
      <c r="W134" s="150">
        <v>25708</v>
      </c>
      <c r="X134" s="150">
        <v>27707</v>
      </c>
      <c r="Y134" s="150">
        <v>30710</v>
      </c>
      <c r="Z134" s="150">
        <v>30021</v>
      </c>
      <c r="AA134" s="150">
        <v>27433</v>
      </c>
      <c r="AB134" s="150">
        <f t="shared" ref="AB134:AO134" si="57">+AB109+AB114+AB123+AB130+AB132</f>
        <v>34064</v>
      </c>
      <c r="AC134" s="150">
        <f t="shared" si="57"/>
        <v>31834</v>
      </c>
      <c r="AD134" s="150">
        <f t="shared" si="57"/>
        <v>26881</v>
      </c>
      <c r="AE134" s="150">
        <f t="shared" si="57"/>
        <v>29783</v>
      </c>
      <c r="AF134" s="150">
        <f t="shared" si="57"/>
        <v>32034</v>
      </c>
      <c r="AG134" s="150">
        <f t="shared" si="57"/>
        <v>28896</v>
      </c>
      <c r="AH134" s="150">
        <f t="shared" si="57"/>
        <v>35224</v>
      </c>
      <c r="AI134" s="150">
        <f t="shared" si="57"/>
        <v>32789</v>
      </c>
      <c r="AJ134" s="150">
        <f t="shared" si="57"/>
        <v>31285</v>
      </c>
      <c r="AK134" s="150">
        <f t="shared" si="57"/>
        <v>35371</v>
      </c>
      <c r="AL134" s="150">
        <f t="shared" si="57"/>
        <v>36920</v>
      </c>
      <c r="AM134" s="150">
        <f t="shared" si="57"/>
        <v>35317</v>
      </c>
      <c r="AN134" s="188">
        <f t="shared" si="57"/>
        <v>33149</v>
      </c>
      <c r="AO134" s="188">
        <f t="shared" si="57"/>
        <v>28711</v>
      </c>
      <c r="AP134" s="150">
        <f>+AP109+AP114+AP123+AP130+AP132</f>
        <v>33610</v>
      </c>
      <c r="AQ134" s="133">
        <f>+AQ109+AQ114+AQ123+AQ130+AQ132</f>
        <v>36772</v>
      </c>
      <c r="AR134" s="133">
        <f>(+AR109+AR114+AR123+AR130+AR132)</f>
        <v>32644</v>
      </c>
      <c r="AS134" s="133">
        <f>(+AS109+AS114+AS123+AS130+AS132)</f>
        <v>35884</v>
      </c>
      <c r="AT134" s="190">
        <f>(+AT109+AT114+AT123+AT130+AT132)</f>
        <v>35278</v>
      </c>
      <c r="AU134" s="173"/>
    </row>
    <row r="135" spans="1:47" x14ac:dyDescent="0.2">
      <c r="A135" s="100" t="s">
        <v>349</v>
      </c>
      <c r="B135" s="40"/>
      <c r="C135" s="40"/>
      <c r="D135" s="40"/>
      <c r="E135" s="40"/>
      <c r="F135" s="40"/>
      <c r="G135" s="40"/>
      <c r="H135" s="41"/>
      <c r="I135" s="40"/>
      <c r="J135" s="40"/>
      <c r="K135" s="40"/>
      <c r="L135" s="41"/>
      <c r="M135" s="41"/>
      <c r="N135" s="41"/>
      <c r="O135" s="41"/>
      <c r="P135" s="41"/>
      <c r="Q135" s="41"/>
      <c r="R135" s="41"/>
      <c r="S135" s="41"/>
      <c r="T135" s="41"/>
    </row>
    <row r="136" spans="1:47" x14ac:dyDescent="0.2">
      <c r="A136" s="100" t="s">
        <v>399</v>
      </c>
      <c r="B136" s="40"/>
      <c r="C136" s="40"/>
      <c r="D136" s="40"/>
      <c r="E136" s="40"/>
      <c r="F136" s="40"/>
      <c r="G136" s="40"/>
      <c r="H136" s="41"/>
      <c r="I136" s="40"/>
      <c r="J136" s="40"/>
      <c r="K136" s="40"/>
      <c r="L136" s="41"/>
      <c r="M136" s="41"/>
      <c r="N136" s="41"/>
      <c r="O136" s="41"/>
      <c r="P136" s="41"/>
      <c r="Q136" s="41"/>
      <c r="R136" s="41"/>
      <c r="S136" s="41"/>
      <c r="T136" s="41"/>
    </row>
    <row r="137" spans="1:47" x14ac:dyDescent="0.2">
      <c r="A137" s="107" t="s">
        <v>370</v>
      </c>
      <c r="B137" s="40"/>
      <c r="C137" s="40"/>
      <c r="D137" s="40"/>
      <c r="E137" s="40"/>
      <c r="F137" s="40"/>
      <c r="G137" s="40"/>
      <c r="H137" s="41"/>
      <c r="I137" s="40"/>
      <c r="J137" s="40"/>
      <c r="K137" s="40"/>
      <c r="L137" s="41"/>
      <c r="M137" s="41"/>
      <c r="N137" s="41"/>
      <c r="O137" s="41"/>
      <c r="P137" s="41"/>
      <c r="Q137" s="41"/>
      <c r="R137" s="41"/>
      <c r="S137" s="41"/>
      <c r="T137" s="41"/>
    </row>
    <row r="138" spans="1:47" x14ac:dyDescent="0.2">
      <c r="A138" s="76" t="s">
        <v>384</v>
      </c>
      <c r="B138" s="41"/>
      <c r="C138" s="41"/>
      <c r="D138" s="41"/>
      <c r="E138" s="41"/>
      <c r="F138" s="41"/>
      <c r="G138" s="41"/>
      <c r="H138" s="41"/>
      <c r="I138" s="41"/>
      <c r="J138" s="41"/>
      <c r="K138" s="41"/>
      <c r="L138" s="41"/>
      <c r="M138" s="41"/>
      <c r="N138" s="41"/>
      <c r="O138" s="41"/>
      <c r="P138" s="41"/>
      <c r="Q138" s="41"/>
      <c r="R138" s="41"/>
      <c r="S138" s="41"/>
      <c r="T138" s="41"/>
    </row>
    <row r="139" spans="1:47" x14ac:dyDescent="0.2">
      <c r="A139" s="86" t="s">
        <v>387</v>
      </c>
      <c r="H139" s="12"/>
    </row>
    <row r="140" spans="1:47" x14ac:dyDescent="0.2">
      <c r="A140" s="86" t="s">
        <v>408</v>
      </c>
    </row>
    <row r="141" spans="1:47" x14ac:dyDescent="0.2">
      <c r="A141" s="86" t="s">
        <v>332</v>
      </c>
    </row>
  </sheetData>
  <pageMargins left="0.75" right="0.75" top="1" bottom="1" header="0.5" footer="0.5"/>
  <pageSetup scale="81" orientation="landscape" verticalDpi="300" r:id="rId1"/>
  <headerFooter alignWithMargins="0"/>
  <rowBreaks count="3" manualBreakCount="3">
    <brk id="34" min="14" max="30" man="1"/>
    <brk id="67" min="14" max="30" man="1"/>
    <brk id="102" min="14" max="30" man="1"/>
  </rowBreaks>
  <ignoredErrors>
    <ignoredError sqref="AQ55 AQ28 D7 D41 D109" 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6F9B70-189A-4781-A8D3-CB98DB494C05}">
  <dimension ref="A1:AB242"/>
  <sheetViews>
    <sheetView zoomScaleNormal="100" workbookViewId="0">
      <pane ySplit="6" topLeftCell="A7" activePane="bottomLeft" state="frozen"/>
      <selection pane="bottomLeft"/>
    </sheetView>
  </sheetViews>
  <sheetFormatPr defaultRowHeight="12.75" x14ac:dyDescent="0.2"/>
  <cols>
    <col min="1" max="1" width="11.85546875" style="21" customWidth="1"/>
    <col min="2" max="4" width="9.140625" style="48" customWidth="1"/>
    <col min="5" max="5" width="10.85546875" style="21" customWidth="1"/>
    <col min="6" max="6" width="10.5703125" style="21" customWidth="1"/>
    <col min="7" max="7" width="10.85546875" style="49" customWidth="1"/>
    <col min="8" max="8" width="16.7109375" style="50" bestFit="1" customWidth="1"/>
    <col min="9" max="9" width="9.42578125" style="21" customWidth="1"/>
    <col min="10" max="10" width="9.85546875" style="21" customWidth="1"/>
    <col min="11" max="11" width="21.5703125" style="21" bestFit="1" customWidth="1"/>
    <col min="12" max="12" width="17" style="10" customWidth="1"/>
    <col min="13" max="256" width="9.140625" style="10"/>
    <col min="257" max="257" width="11.85546875" style="10" customWidth="1"/>
    <col min="258" max="260" width="9.140625" style="10"/>
    <col min="261" max="261" width="10.85546875" style="10" customWidth="1"/>
    <col min="262" max="262" width="10.5703125" style="10" customWidth="1"/>
    <col min="263" max="264" width="10.85546875" style="10" customWidth="1"/>
    <col min="265" max="265" width="9.42578125" style="10" customWidth="1"/>
    <col min="266" max="266" width="9.85546875" style="10" customWidth="1"/>
    <col min="267" max="267" width="8" style="10" customWidth="1"/>
    <col min="268" max="512" width="9.140625" style="10"/>
    <col min="513" max="513" width="11.85546875" style="10" customWidth="1"/>
    <col min="514" max="516" width="9.140625" style="10"/>
    <col min="517" max="517" width="10.85546875" style="10" customWidth="1"/>
    <col min="518" max="518" width="10.5703125" style="10" customWidth="1"/>
    <col min="519" max="520" width="10.85546875" style="10" customWidth="1"/>
    <col min="521" max="521" width="9.42578125" style="10" customWidth="1"/>
    <col min="522" max="522" width="9.85546875" style="10" customWidth="1"/>
    <col min="523" max="523" width="8" style="10" customWidth="1"/>
    <col min="524" max="768" width="9.140625" style="10"/>
    <col min="769" max="769" width="11.85546875" style="10" customWidth="1"/>
    <col min="770" max="772" width="9.140625" style="10"/>
    <col min="773" max="773" width="10.85546875" style="10" customWidth="1"/>
    <col min="774" max="774" width="10.5703125" style="10" customWidth="1"/>
    <col min="775" max="776" width="10.85546875" style="10" customWidth="1"/>
    <col min="777" max="777" width="9.42578125" style="10" customWidth="1"/>
    <col min="778" max="778" width="9.85546875" style="10" customWidth="1"/>
    <col min="779" max="779" width="8" style="10" customWidth="1"/>
    <col min="780" max="1024" width="9.140625" style="10"/>
    <col min="1025" max="1025" width="11.85546875" style="10" customWidth="1"/>
    <col min="1026" max="1028" width="9.140625" style="10"/>
    <col min="1029" max="1029" width="10.85546875" style="10" customWidth="1"/>
    <col min="1030" max="1030" width="10.5703125" style="10" customWidth="1"/>
    <col min="1031" max="1032" width="10.85546875" style="10" customWidth="1"/>
    <col min="1033" max="1033" width="9.42578125" style="10" customWidth="1"/>
    <col min="1034" max="1034" width="9.85546875" style="10" customWidth="1"/>
    <col min="1035" max="1035" width="8" style="10" customWidth="1"/>
    <col min="1036" max="1280" width="9.140625" style="10"/>
    <col min="1281" max="1281" width="11.85546875" style="10" customWidth="1"/>
    <col min="1282" max="1284" width="9.140625" style="10"/>
    <col min="1285" max="1285" width="10.85546875" style="10" customWidth="1"/>
    <col min="1286" max="1286" width="10.5703125" style="10" customWidth="1"/>
    <col min="1287" max="1288" width="10.85546875" style="10" customWidth="1"/>
    <col min="1289" max="1289" width="9.42578125" style="10" customWidth="1"/>
    <col min="1290" max="1290" width="9.85546875" style="10" customWidth="1"/>
    <col min="1291" max="1291" width="8" style="10" customWidth="1"/>
    <col min="1292" max="1536" width="9.140625" style="10"/>
    <col min="1537" max="1537" width="11.85546875" style="10" customWidth="1"/>
    <col min="1538" max="1540" width="9.140625" style="10"/>
    <col min="1541" max="1541" width="10.85546875" style="10" customWidth="1"/>
    <col min="1542" max="1542" width="10.5703125" style="10" customWidth="1"/>
    <col min="1543" max="1544" width="10.85546875" style="10" customWidth="1"/>
    <col min="1545" max="1545" width="9.42578125" style="10" customWidth="1"/>
    <col min="1546" max="1546" width="9.85546875" style="10" customWidth="1"/>
    <col min="1547" max="1547" width="8" style="10" customWidth="1"/>
    <col min="1548" max="1792" width="9.140625" style="10"/>
    <col min="1793" max="1793" width="11.85546875" style="10" customWidth="1"/>
    <col min="1794" max="1796" width="9.140625" style="10"/>
    <col min="1797" max="1797" width="10.85546875" style="10" customWidth="1"/>
    <col min="1798" max="1798" width="10.5703125" style="10" customWidth="1"/>
    <col min="1799" max="1800" width="10.85546875" style="10" customWidth="1"/>
    <col min="1801" max="1801" width="9.42578125" style="10" customWidth="1"/>
    <col min="1802" max="1802" width="9.85546875" style="10" customWidth="1"/>
    <col min="1803" max="1803" width="8" style="10" customWidth="1"/>
    <col min="1804" max="2048" width="9.140625" style="10"/>
    <col min="2049" max="2049" width="11.85546875" style="10" customWidth="1"/>
    <col min="2050" max="2052" width="9.140625" style="10"/>
    <col min="2053" max="2053" width="10.85546875" style="10" customWidth="1"/>
    <col min="2054" max="2054" width="10.5703125" style="10" customWidth="1"/>
    <col min="2055" max="2056" width="10.85546875" style="10" customWidth="1"/>
    <col min="2057" max="2057" width="9.42578125" style="10" customWidth="1"/>
    <col min="2058" max="2058" width="9.85546875" style="10" customWidth="1"/>
    <col min="2059" max="2059" width="8" style="10" customWidth="1"/>
    <col min="2060" max="2304" width="9.140625" style="10"/>
    <col min="2305" max="2305" width="11.85546875" style="10" customWidth="1"/>
    <col min="2306" max="2308" width="9.140625" style="10"/>
    <col min="2309" max="2309" width="10.85546875" style="10" customWidth="1"/>
    <col min="2310" max="2310" width="10.5703125" style="10" customWidth="1"/>
    <col min="2311" max="2312" width="10.85546875" style="10" customWidth="1"/>
    <col min="2313" max="2313" width="9.42578125" style="10" customWidth="1"/>
    <col min="2314" max="2314" width="9.85546875" style="10" customWidth="1"/>
    <col min="2315" max="2315" width="8" style="10" customWidth="1"/>
    <col min="2316" max="2560" width="9.140625" style="10"/>
    <col min="2561" max="2561" width="11.85546875" style="10" customWidth="1"/>
    <col min="2562" max="2564" width="9.140625" style="10"/>
    <col min="2565" max="2565" width="10.85546875" style="10" customWidth="1"/>
    <col min="2566" max="2566" width="10.5703125" style="10" customWidth="1"/>
    <col min="2567" max="2568" width="10.85546875" style="10" customWidth="1"/>
    <col min="2569" max="2569" width="9.42578125" style="10" customWidth="1"/>
    <col min="2570" max="2570" width="9.85546875" style="10" customWidth="1"/>
    <col min="2571" max="2571" width="8" style="10" customWidth="1"/>
    <col min="2572" max="2816" width="9.140625" style="10"/>
    <col min="2817" max="2817" width="11.85546875" style="10" customWidth="1"/>
    <col min="2818" max="2820" width="9.140625" style="10"/>
    <col min="2821" max="2821" width="10.85546875" style="10" customWidth="1"/>
    <col min="2822" max="2822" width="10.5703125" style="10" customWidth="1"/>
    <col min="2823" max="2824" width="10.85546875" style="10" customWidth="1"/>
    <col min="2825" max="2825" width="9.42578125" style="10" customWidth="1"/>
    <col min="2826" max="2826" width="9.85546875" style="10" customWidth="1"/>
    <col min="2827" max="2827" width="8" style="10" customWidth="1"/>
    <col min="2828" max="3072" width="9.140625" style="10"/>
    <col min="3073" max="3073" width="11.85546875" style="10" customWidth="1"/>
    <col min="3074" max="3076" width="9.140625" style="10"/>
    <col min="3077" max="3077" width="10.85546875" style="10" customWidth="1"/>
    <col min="3078" max="3078" width="10.5703125" style="10" customWidth="1"/>
    <col min="3079" max="3080" width="10.85546875" style="10" customWidth="1"/>
    <col min="3081" max="3081" width="9.42578125" style="10" customWidth="1"/>
    <col min="3082" max="3082" width="9.85546875" style="10" customWidth="1"/>
    <col min="3083" max="3083" width="8" style="10" customWidth="1"/>
    <col min="3084" max="3328" width="9.140625" style="10"/>
    <col min="3329" max="3329" width="11.85546875" style="10" customWidth="1"/>
    <col min="3330" max="3332" width="9.140625" style="10"/>
    <col min="3333" max="3333" width="10.85546875" style="10" customWidth="1"/>
    <col min="3334" max="3334" width="10.5703125" style="10" customWidth="1"/>
    <col min="3335" max="3336" width="10.85546875" style="10" customWidth="1"/>
    <col min="3337" max="3337" width="9.42578125" style="10" customWidth="1"/>
    <col min="3338" max="3338" width="9.85546875" style="10" customWidth="1"/>
    <col min="3339" max="3339" width="8" style="10" customWidth="1"/>
    <col min="3340" max="3584" width="9.140625" style="10"/>
    <col min="3585" max="3585" width="11.85546875" style="10" customWidth="1"/>
    <col min="3586" max="3588" width="9.140625" style="10"/>
    <col min="3589" max="3589" width="10.85546875" style="10" customWidth="1"/>
    <col min="3590" max="3590" width="10.5703125" style="10" customWidth="1"/>
    <col min="3591" max="3592" width="10.85546875" style="10" customWidth="1"/>
    <col min="3593" max="3593" width="9.42578125" style="10" customWidth="1"/>
    <col min="3594" max="3594" width="9.85546875" style="10" customWidth="1"/>
    <col min="3595" max="3595" width="8" style="10" customWidth="1"/>
    <col min="3596" max="3840" width="9.140625" style="10"/>
    <col min="3841" max="3841" width="11.85546875" style="10" customWidth="1"/>
    <col min="3842" max="3844" width="9.140625" style="10"/>
    <col min="3845" max="3845" width="10.85546875" style="10" customWidth="1"/>
    <col min="3846" max="3846" width="10.5703125" style="10" customWidth="1"/>
    <col min="3847" max="3848" width="10.85546875" style="10" customWidth="1"/>
    <col min="3849" max="3849" width="9.42578125" style="10" customWidth="1"/>
    <col min="3850" max="3850" width="9.85546875" style="10" customWidth="1"/>
    <col min="3851" max="3851" width="8" style="10" customWidth="1"/>
    <col min="3852" max="4096" width="9.140625" style="10"/>
    <col min="4097" max="4097" width="11.85546875" style="10" customWidth="1"/>
    <col min="4098" max="4100" width="9.140625" style="10"/>
    <col min="4101" max="4101" width="10.85546875" style="10" customWidth="1"/>
    <col min="4102" max="4102" width="10.5703125" style="10" customWidth="1"/>
    <col min="4103" max="4104" width="10.85546875" style="10" customWidth="1"/>
    <col min="4105" max="4105" width="9.42578125" style="10" customWidth="1"/>
    <col min="4106" max="4106" width="9.85546875" style="10" customWidth="1"/>
    <col min="4107" max="4107" width="8" style="10" customWidth="1"/>
    <col min="4108" max="4352" width="9.140625" style="10"/>
    <col min="4353" max="4353" width="11.85546875" style="10" customWidth="1"/>
    <col min="4354" max="4356" width="9.140625" style="10"/>
    <col min="4357" max="4357" width="10.85546875" style="10" customWidth="1"/>
    <col min="4358" max="4358" width="10.5703125" style="10" customWidth="1"/>
    <col min="4359" max="4360" width="10.85546875" style="10" customWidth="1"/>
    <col min="4361" max="4361" width="9.42578125" style="10" customWidth="1"/>
    <col min="4362" max="4362" width="9.85546875" style="10" customWidth="1"/>
    <col min="4363" max="4363" width="8" style="10" customWidth="1"/>
    <col min="4364" max="4608" width="9.140625" style="10"/>
    <col min="4609" max="4609" width="11.85546875" style="10" customWidth="1"/>
    <col min="4610" max="4612" width="9.140625" style="10"/>
    <col min="4613" max="4613" width="10.85546875" style="10" customWidth="1"/>
    <col min="4614" max="4614" width="10.5703125" style="10" customWidth="1"/>
    <col min="4615" max="4616" width="10.85546875" style="10" customWidth="1"/>
    <col min="4617" max="4617" width="9.42578125" style="10" customWidth="1"/>
    <col min="4618" max="4618" width="9.85546875" style="10" customWidth="1"/>
    <col min="4619" max="4619" width="8" style="10" customWidth="1"/>
    <col min="4620" max="4864" width="9.140625" style="10"/>
    <col min="4865" max="4865" width="11.85546875" style="10" customWidth="1"/>
    <col min="4866" max="4868" width="9.140625" style="10"/>
    <col min="4869" max="4869" width="10.85546875" style="10" customWidth="1"/>
    <col min="4870" max="4870" width="10.5703125" style="10" customWidth="1"/>
    <col min="4871" max="4872" width="10.85546875" style="10" customWidth="1"/>
    <col min="4873" max="4873" width="9.42578125" style="10" customWidth="1"/>
    <col min="4874" max="4874" width="9.85546875" style="10" customWidth="1"/>
    <col min="4875" max="4875" width="8" style="10" customWidth="1"/>
    <col min="4876" max="5120" width="9.140625" style="10"/>
    <col min="5121" max="5121" width="11.85546875" style="10" customWidth="1"/>
    <col min="5122" max="5124" width="9.140625" style="10"/>
    <col min="5125" max="5125" width="10.85546875" style="10" customWidth="1"/>
    <col min="5126" max="5126" width="10.5703125" style="10" customWidth="1"/>
    <col min="5127" max="5128" width="10.85546875" style="10" customWidth="1"/>
    <col min="5129" max="5129" width="9.42578125" style="10" customWidth="1"/>
    <col min="5130" max="5130" width="9.85546875" style="10" customWidth="1"/>
    <col min="5131" max="5131" width="8" style="10" customWidth="1"/>
    <col min="5132" max="5376" width="9.140625" style="10"/>
    <col min="5377" max="5377" width="11.85546875" style="10" customWidth="1"/>
    <col min="5378" max="5380" width="9.140625" style="10"/>
    <col min="5381" max="5381" width="10.85546875" style="10" customWidth="1"/>
    <col min="5382" max="5382" width="10.5703125" style="10" customWidth="1"/>
    <col min="5383" max="5384" width="10.85546875" style="10" customWidth="1"/>
    <col min="5385" max="5385" width="9.42578125" style="10" customWidth="1"/>
    <col min="5386" max="5386" width="9.85546875" style="10" customWidth="1"/>
    <col min="5387" max="5387" width="8" style="10" customWidth="1"/>
    <col min="5388" max="5632" width="9.140625" style="10"/>
    <col min="5633" max="5633" width="11.85546875" style="10" customWidth="1"/>
    <col min="5634" max="5636" width="9.140625" style="10"/>
    <col min="5637" max="5637" width="10.85546875" style="10" customWidth="1"/>
    <col min="5638" max="5638" width="10.5703125" style="10" customWidth="1"/>
    <col min="5639" max="5640" width="10.85546875" style="10" customWidth="1"/>
    <col min="5641" max="5641" width="9.42578125" style="10" customWidth="1"/>
    <col min="5642" max="5642" width="9.85546875" style="10" customWidth="1"/>
    <col min="5643" max="5643" width="8" style="10" customWidth="1"/>
    <col min="5644" max="5888" width="9.140625" style="10"/>
    <col min="5889" max="5889" width="11.85546875" style="10" customWidth="1"/>
    <col min="5890" max="5892" width="9.140625" style="10"/>
    <col min="5893" max="5893" width="10.85546875" style="10" customWidth="1"/>
    <col min="5894" max="5894" width="10.5703125" style="10" customWidth="1"/>
    <col min="5895" max="5896" width="10.85546875" style="10" customWidth="1"/>
    <col min="5897" max="5897" width="9.42578125" style="10" customWidth="1"/>
    <col min="5898" max="5898" width="9.85546875" style="10" customWidth="1"/>
    <col min="5899" max="5899" width="8" style="10" customWidth="1"/>
    <col min="5900" max="6144" width="9.140625" style="10"/>
    <col min="6145" max="6145" width="11.85546875" style="10" customWidth="1"/>
    <col min="6146" max="6148" width="9.140625" style="10"/>
    <col min="6149" max="6149" width="10.85546875" style="10" customWidth="1"/>
    <col min="6150" max="6150" width="10.5703125" style="10" customWidth="1"/>
    <col min="6151" max="6152" width="10.85546875" style="10" customWidth="1"/>
    <col min="6153" max="6153" width="9.42578125" style="10" customWidth="1"/>
    <col min="6154" max="6154" width="9.85546875" style="10" customWidth="1"/>
    <col min="6155" max="6155" width="8" style="10" customWidth="1"/>
    <col min="6156" max="6400" width="9.140625" style="10"/>
    <col min="6401" max="6401" width="11.85546875" style="10" customWidth="1"/>
    <col min="6402" max="6404" width="9.140625" style="10"/>
    <col min="6405" max="6405" width="10.85546875" style="10" customWidth="1"/>
    <col min="6406" max="6406" width="10.5703125" style="10" customWidth="1"/>
    <col min="6407" max="6408" width="10.85546875" style="10" customWidth="1"/>
    <col min="6409" max="6409" width="9.42578125" style="10" customWidth="1"/>
    <col min="6410" max="6410" width="9.85546875" style="10" customWidth="1"/>
    <col min="6411" max="6411" width="8" style="10" customWidth="1"/>
    <col min="6412" max="6656" width="9.140625" style="10"/>
    <col min="6657" max="6657" width="11.85546875" style="10" customWidth="1"/>
    <col min="6658" max="6660" width="9.140625" style="10"/>
    <col min="6661" max="6661" width="10.85546875" style="10" customWidth="1"/>
    <col min="6662" max="6662" width="10.5703125" style="10" customWidth="1"/>
    <col min="6663" max="6664" width="10.85546875" style="10" customWidth="1"/>
    <col min="6665" max="6665" width="9.42578125" style="10" customWidth="1"/>
    <col min="6666" max="6666" width="9.85546875" style="10" customWidth="1"/>
    <col min="6667" max="6667" width="8" style="10" customWidth="1"/>
    <col min="6668" max="6912" width="9.140625" style="10"/>
    <col min="6913" max="6913" width="11.85546875" style="10" customWidth="1"/>
    <col min="6914" max="6916" width="9.140625" style="10"/>
    <col min="6917" max="6917" width="10.85546875" style="10" customWidth="1"/>
    <col min="6918" max="6918" width="10.5703125" style="10" customWidth="1"/>
    <col min="6919" max="6920" width="10.85546875" style="10" customWidth="1"/>
    <col min="6921" max="6921" width="9.42578125" style="10" customWidth="1"/>
    <col min="6922" max="6922" width="9.85546875" style="10" customWidth="1"/>
    <col min="6923" max="6923" width="8" style="10" customWidth="1"/>
    <col min="6924" max="7168" width="9.140625" style="10"/>
    <col min="7169" max="7169" width="11.85546875" style="10" customWidth="1"/>
    <col min="7170" max="7172" width="9.140625" style="10"/>
    <col min="7173" max="7173" width="10.85546875" style="10" customWidth="1"/>
    <col min="7174" max="7174" width="10.5703125" style="10" customWidth="1"/>
    <col min="7175" max="7176" width="10.85546875" style="10" customWidth="1"/>
    <col min="7177" max="7177" width="9.42578125" style="10" customWidth="1"/>
    <col min="7178" max="7178" width="9.85546875" style="10" customWidth="1"/>
    <col min="7179" max="7179" width="8" style="10" customWidth="1"/>
    <col min="7180" max="7424" width="9.140625" style="10"/>
    <col min="7425" max="7425" width="11.85546875" style="10" customWidth="1"/>
    <col min="7426" max="7428" width="9.140625" style="10"/>
    <col min="7429" max="7429" width="10.85546875" style="10" customWidth="1"/>
    <col min="7430" max="7430" width="10.5703125" style="10" customWidth="1"/>
    <col min="7431" max="7432" width="10.85546875" style="10" customWidth="1"/>
    <col min="7433" max="7433" width="9.42578125" style="10" customWidth="1"/>
    <col min="7434" max="7434" width="9.85546875" style="10" customWidth="1"/>
    <col min="7435" max="7435" width="8" style="10" customWidth="1"/>
    <col min="7436" max="7680" width="9.140625" style="10"/>
    <col min="7681" max="7681" width="11.85546875" style="10" customWidth="1"/>
    <col min="7682" max="7684" width="9.140625" style="10"/>
    <col min="7685" max="7685" width="10.85546875" style="10" customWidth="1"/>
    <col min="7686" max="7686" width="10.5703125" style="10" customWidth="1"/>
    <col min="7687" max="7688" width="10.85546875" style="10" customWidth="1"/>
    <col min="7689" max="7689" width="9.42578125" style="10" customWidth="1"/>
    <col min="7690" max="7690" width="9.85546875" style="10" customWidth="1"/>
    <col min="7691" max="7691" width="8" style="10" customWidth="1"/>
    <col min="7692" max="7936" width="9.140625" style="10"/>
    <col min="7937" max="7937" width="11.85546875" style="10" customWidth="1"/>
    <col min="7938" max="7940" width="9.140625" style="10"/>
    <col min="7941" max="7941" width="10.85546875" style="10" customWidth="1"/>
    <col min="7942" max="7942" width="10.5703125" style="10" customWidth="1"/>
    <col min="7943" max="7944" width="10.85546875" style="10" customWidth="1"/>
    <col min="7945" max="7945" width="9.42578125" style="10" customWidth="1"/>
    <col min="7946" max="7946" width="9.85546875" style="10" customWidth="1"/>
    <col min="7947" max="7947" width="8" style="10" customWidth="1"/>
    <col min="7948" max="8192" width="9.140625" style="10"/>
    <col min="8193" max="8193" width="11.85546875" style="10" customWidth="1"/>
    <col min="8194" max="8196" width="9.140625" style="10"/>
    <col min="8197" max="8197" width="10.85546875" style="10" customWidth="1"/>
    <col min="8198" max="8198" width="10.5703125" style="10" customWidth="1"/>
    <col min="8199" max="8200" width="10.85546875" style="10" customWidth="1"/>
    <col min="8201" max="8201" width="9.42578125" style="10" customWidth="1"/>
    <col min="8202" max="8202" width="9.85546875" style="10" customWidth="1"/>
    <col min="8203" max="8203" width="8" style="10" customWidth="1"/>
    <col min="8204" max="8448" width="9.140625" style="10"/>
    <col min="8449" max="8449" width="11.85546875" style="10" customWidth="1"/>
    <col min="8450" max="8452" width="9.140625" style="10"/>
    <col min="8453" max="8453" width="10.85546875" style="10" customWidth="1"/>
    <col min="8454" max="8454" width="10.5703125" style="10" customWidth="1"/>
    <col min="8455" max="8456" width="10.85546875" style="10" customWidth="1"/>
    <col min="8457" max="8457" width="9.42578125" style="10" customWidth="1"/>
    <col min="8458" max="8458" width="9.85546875" style="10" customWidth="1"/>
    <col min="8459" max="8459" width="8" style="10" customWidth="1"/>
    <col min="8460" max="8704" width="9.140625" style="10"/>
    <col min="8705" max="8705" width="11.85546875" style="10" customWidth="1"/>
    <col min="8706" max="8708" width="9.140625" style="10"/>
    <col min="8709" max="8709" width="10.85546875" style="10" customWidth="1"/>
    <col min="8710" max="8710" width="10.5703125" style="10" customWidth="1"/>
    <col min="8711" max="8712" width="10.85546875" style="10" customWidth="1"/>
    <col min="8713" max="8713" width="9.42578125" style="10" customWidth="1"/>
    <col min="8714" max="8714" width="9.85546875" style="10" customWidth="1"/>
    <col min="8715" max="8715" width="8" style="10" customWidth="1"/>
    <col min="8716" max="8960" width="9.140625" style="10"/>
    <col min="8961" max="8961" width="11.85546875" style="10" customWidth="1"/>
    <col min="8962" max="8964" width="9.140625" style="10"/>
    <col min="8965" max="8965" width="10.85546875" style="10" customWidth="1"/>
    <col min="8966" max="8966" width="10.5703125" style="10" customWidth="1"/>
    <col min="8967" max="8968" width="10.85546875" style="10" customWidth="1"/>
    <col min="8969" max="8969" width="9.42578125" style="10" customWidth="1"/>
    <col min="8970" max="8970" width="9.85546875" style="10" customWidth="1"/>
    <col min="8971" max="8971" width="8" style="10" customWidth="1"/>
    <col min="8972" max="9216" width="9.140625" style="10"/>
    <col min="9217" max="9217" width="11.85546875" style="10" customWidth="1"/>
    <col min="9218" max="9220" width="9.140625" style="10"/>
    <col min="9221" max="9221" width="10.85546875" style="10" customWidth="1"/>
    <col min="9222" max="9222" width="10.5703125" style="10" customWidth="1"/>
    <col min="9223" max="9224" width="10.85546875" style="10" customWidth="1"/>
    <col min="9225" max="9225" width="9.42578125" style="10" customWidth="1"/>
    <col min="9226" max="9226" width="9.85546875" style="10" customWidth="1"/>
    <col min="9227" max="9227" width="8" style="10" customWidth="1"/>
    <col min="9228" max="9472" width="9.140625" style="10"/>
    <col min="9473" max="9473" width="11.85546875" style="10" customWidth="1"/>
    <col min="9474" max="9476" width="9.140625" style="10"/>
    <col min="9477" max="9477" width="10.85546875" style="10" customWidth="1"/>
    <col min="9478" max="9478" width="10.5703125" style="10" customWidth="1"/>
    <col min="9479" max="9480" width="10.85546875" style="10" customWidth="1"/>
    <col min="9481" max="9481" width="9.42578125" style="10" customWidth="1"/>
    <col min="9482" max="9482" width="9.85546875" style="10" customWidth="1"/>
    <col min="9483" max="9483" width="8" style="10" customWidth="1"/>
    <col min="9484" max="9728" width="9.140625" style="10"/>
    <col min="9729" max="9729" width="11.85546875" style="10" customWidth="1"/>
    <col min="9730" max="9732" width="9.140625" style="10"/>
    <col min="9733" max="9733" width="10.85546875" style="10" customWidth="1"/>
    <col min="9734" max="9734" width="10.5703125" style="10" customWidth="1"/>
    <col min="9735" max="9736" width="10.85546875" style="10" customWidth="1"/>
    <col min="9737" max="9737" width="9.42578125" style="10" customWidth="1"/>
    <col min="9738" max="9738" width="9.85546875" style="10" customWidth="1"/>
    <col min="9739" max="9739" width="8" style="10" customWidth="1"/>
    <col min="9740" max="9984" width="9.140625" style="10"/>
    <col min="9985" max="9985" width="11.85546875" style="10" customWidth="1"/>
    <col min="9986" max="9988" width="9.140625" style="10"/>
    <col min="9989" max="9989" width="10.85546875" style="10" customWidth="1"/>
    <col min="9990" max="9990" width="10.5703125" style="10" customWidth="1"/>
    <col min="9991" max="9992" width="10.85546875" style="10" customWidth="1"/>
    <col min="9993" max="9993" width="9.42578125" style="10" customWidth="1"/>
    <col min="9994" max="9994" width="9.85546875" style="10" customWidth="1"/>
    <col min="9995" max="9995" width="8" style="10" customWidth="1"/>
    <col min="9996" max="10240" width="9.140625" style="10"/>
    <col min="10241" max="10241" width="11.85546875" style="10" customWidth="1"/>
    <col min="10242" max="10244" width="9.140625" style="10"/>
    <col min="10245" max="10245" width="10.85546875" style="10" customWidth="1"/>
    <col min="10246" max="10246" width="10.5703125" style="10" customWidth="1"/>
    <col min="10247" max="10248" width="10.85546875" style="10" customWidth="1"/>
    <col min="10249" max="10249" width="9.42578125" style="10" customWidth="1"/>
    <col min="10250" max="10250" width="9.85546875" style="10" customWidth="1"/>
    <col min="10251" max="10251" width="8" style="10" customWidth="1"/>
    <col min="10252" max="10496" width="9.140625" style="10"/>
    <col min="10497" max="10497" width="11.85546875" style="10" customWidth="1"/>
    <col min="10498" max="10500" width="9.140625" style="10"/>
    <col min="10501" max="10501" width="10.85546875" style="10" customWidth="1"/>
    <col min="10502" max="10502" width="10.5703125" style="10" customWidth="1"/>
    <col min="10503" max="10504" width="10.85546875" style="10" customWidth="1"/>
    <col min="10505" max="10505" width="9.42578125" style="10" customWidth="1"/>
    <col min="10506" max="10506" width="9.85546875" style="10" customWidth="1"/>
    <col min="10507" max="10507" width="8" style="10" customWidth="1"/>
    <col min="10508" max="10752" width="9.140625" style="10"/>
    <col min="10753" max="10753" width="11.85546875" style="10" customWidth="1"/>
    <col min="10754" max="10756" width="9.140625" style="10"/>
    <col min="10757" max="10757" width="10.85546875" style="10" customWidth="1"/>
    <col min="10758" max="10758" width="10.5703125" style="10" customWidth="1"/>
    <col min="10759" max="10760" width="10.85546875" style="10" customWidth="1"/>
    <col min="10761" max="10761" width="9.42578125" style="10" customWidth="1"/>
    <col min="10762" max="10762" width="9.85546875" style="10" customWidth="1"/>
    <col min="10763" max="10763" width="8" style="10" customWidth="1"/>
    <col min="10764" max="11008" width="9.140625" style="10"/>
    <col min="11009" max="11009" width="11.85546875" style="10" customWidth="1"/>
    <col min="11010" max="11012" width="9.140625" style="10"/>
    <col min="11013" max="11013" width="10.85546875" style="10" customWidth="1"/>
    <col min="11014" max="11014" width="10.5703125" style="10" customWidth="1"/>
    <col min="11015" max="11016" width="10.85546875" style="10" customWidth="1"/>
    <col min="11017" max="11017" width="9.42578125" style="10" customWidth="1"/>
    <col min="11018" max="11018" width="9.85546875" style="10" customWidth="1"/>
    <col min="11019" max="11019" width="8" style="10" customWidth="1"/>
    <col min="11020" max="11264" width="9.140625" style="10"/>
    <col min="11265" max="11265" width="11.85546875" style="10" customWidth="1"/>
    <col min="11266" max="11268" width="9.140625" style="10"/>
    <col min="11269" max="11269" width="10.85546875" style="10" customWidth="1"/>
    <col min="11270" max="11270" width="10.5703125" style="10" customWidth="1"/>
    <col min="11271" max="11272" width="10.85546875" style="10" customWidth="1"/>
    <col min="11273" max="11273" width="9.42578125" style="10" customWidth="1"/>
    <col min="11274" max="11274" width="9.85546875" style="10" customWidth="1"/>
    <col min="11275" max="11275" width="8" style="10" customWidth="1"/>
    <col min="11276" max="11520" width="9.140625" style="10"/>
    <col min="11521" max="11521" width="11.85546875" style="10" customWidth="1"/>
    <col min="11522" max="11524" width="9.140625" style="10"/>
    <col min="11525" max="11525" width="10.85546875" style="10" customWidth="1"/>
    <col min="11526" max="11526" width="10.5703125" style="10" customWidth="1"/>
    <col min="11527" max="11528" width="10.85546875" style="10" customWidth="1"/>
    <col min="11529" max="11529" width="9.42578125" style="10" customWidth="1"/>
    <col min="11530" max="11530" width="9.85546875" style="10" customWidth="1"/>
    <col min="11531" max="11531" width="8" style="10" customWidth="1"/>
    <col min="11532" max="11776" width="9.140625" style="10"/>
    <col min="11777" max="11777" width="11.85546875" style="10" customWidth="1"/>
    <col min="11778" max="11780" width="9.140625" style="10"/>
    <col min="11781" max="11781" width="10.85546875" style="10" customWidth="1"/>
    <col min="11782" max="11782" width="10.5703125" style="10" customWidth="1"/>
    <col min="11783" max="11784" width="10.85546875" style="10" customWidth="1"/>
    <col min="11785" max="11785" width="9.42578125" style="10" customWidth="1"/>
    <col min="11786" max="11786" width="9.85546875" style="10" customWidth="1"/>
    <col min="11787" max="11787" width="8" style="10" customWidth="1"/>
    <col min="11788" max="12032" width="9.140625" style="10"/>
    <col min="12033" max="12033" width="11.85546875" style="10" customWidth="1"/>
    <col min="12034" max="12036" width="9.140625" style="10"/>
    <col min="12037" max="12037" width="10.85546875" style="10" customWidth="1"/>
    <col min="12038" max="12038" width="10.5703125" style="10" customWidth="1"/>
    <col min="12039" max="12040" width="10.85546875" style="10" customWidth="1"/>
    <col min="12041" max="12041" width="9.42578125" style="10" customWidth="1"/>
    <col min="12042" max="12042" width="9.85546875" style="10" customWidth="1"/>
    <col min="12043" max="12043" width="8" style="10" customWidth="1"/>
    <col min="12044" max="12288" width="9.140625" style="10"/>
    <col min="12289" max="12289" width="11.85546875" style="10" customWidth="1"/>
    <col min="12290" max="12292" width="9.140625" style="10"/>
    <col min="12293" max="12293" width="10.85546875" style="10" customWidth="1"/>
    <col min="12294" max="12294" width="10.5703125" style="10" customWidth="1"/>
    <col min="12295" max="12296" width="10.85546875" style="10" customWidth="1"/>
    <col min="12297" max="12297" width="9.42578125" style="10" customWidth="1"/>
    <col min="12298" max="12298" width="9.85546875" style="10" customWidth="1"/>
    <col min="12299" max="12299" width="8" style="10" customWidth="1"/>
    <col min="12300" max="12544" width="9.140625" style="10"/>
    <col min="12545" max="12545" width="11.85546875" style="10" customWidth="1"/>
    <col min="12546" max="12548" width="9.140625" style="10"/>
    <col min="12549" max="12549" width="10.85546875" style="10" customWidth="1"/>
    <col min="12550" max="12550" width="10.5703125" style="10" customWidth="1"/>
    <col min="12551" max="12552" width="10.85546875" style="10" customWidth="1"/>
    <col min="12553" max="12553" width="9.42578125" style="10" customWidth="1"/>
    <col min="12554" max="12554" width="9.85546875" style="10" customWidth="1"/>
    <col min="12555" max="12555" width="8" style="10" customWidth="1"/>
    <col min="12556" max="12800" width="9.140625" style="10"/>
    <col min="12801" max="12801" width="11.85546875" style="10" customWidth="1"/>
    <col min="12802" max="12804" width="9.140625" style="10"/>
    <col min="12805" max="12805" width="10.85546875" style="10" customWidth="1"/>
    <col min="12806" max="12806" width="10.5703125" style="10" customWidth="1"/>
    <col min="12807" max="12808" width="10.85546875" style="10" customWidth="1"/>
    <col min="12809" max="12809" width="9.42578125" style="10" customWidth="1"/>
    <col min="12810" max="12810" width="9.85546875" style="10" customWidth="1"/>
    <col min="12811" max="12811" width="8" style="10" customWidth="1"/>
    <col min="12812" max="13056" width="9.140625" style="10"/>
    <col min="13057" max="13057" width="11.85546875" style="10" customWidth="1"/>
    <col min="13058" max="13060" width="9.140625" style="10"/>
    <col min="13061" max="13061" width="10.85546875" style="10" customWidth="1"/>
    <col min="13062" max="13062" width="10.5703125" style="10" customWidth="1"/>
    <col min="13063" max="13064" width="10.85546875" style="10" customWidth="1"/>
    <col min="13065" max="13065" width="9.42578125" style="10" customWidth="1"/>
    <col min="13066" max="13066" width="9.85546875" style="10" customWidth="1"/>
    <col min="13067" max="13067" width="8" style="10" customWidth="1"/>
    <col min="13068" max="13312" width="9.140625" style="10"/>
    <col min="13313" max="13313" width="11.85546875" style="10" customWidth="1"/>
    <col min="13314" max="13316" width="9.140625" style="10"/>
    <col min="13317" max="13317" width="10.85546875" style="10" customWidth="1"/>
    <col min="13318" max="13318" width="10.5703125" style="10" customWidth="1"/>
    <col min="13319" max="13320" width="10.85546875" style="10" customWidth="1"/>
    <col min="13321" max="13321" width="9.42578125" style="10" customWidth="1"/>
    <col min="13322" max="13322" width="9.85546875" style="10" customWidth="1"/>
    <col min="13323" max="13323" width="8" style="10" customWidth="1"/>
    <col min="13324" max="13568" width="9.140625" style="10"/>
    <col min="13569" max="13569" width="11.85546875" style="10" customWidth="1"/>
    <col min="13570" max="13572" width="9.140625" style="10"/>
    <col min="13573" max="13573" width="10.85546875" style="10" customWidth="1"/>
    <col min="13574" max="13574" width="10.5703125" style="10" customWidth="1"/>
    <col min="13575" max="13576" width="10.85546875" style="10" customWidth="1"/>
    <col min="13577" max="13577" width="9.42578125" style="10" customWidth="1"/>
    <col min="13578" max="13578" width="9.85546875" style="10" customWidth="1"/>
    <col min="13579" max="13579" width="8" style="10" customWidth="1"/>
    <col min="13580" max="13824" width="9.140625" style="10"/>
    <col min="13825" max="13825" width="11.85546875" style="10" customWidth="1"/>
    <col min="13826" max="13828" width="9.140625" style="10"/>
    <col min="13829" max="13829" width="10.85546875" style="10" customWidth="1"/>
    <col min="13830" max="13830" width="10.5703125" style="10" customWidth="1"/>
    <col min="13831" max="13832" width="10.85546875" style="10" customWidth="1"/>
    <col min="13833" max="13833" width="9.42578125" style="10" customWidth="1"/>
    <col min="13834" max="13834" width="9.85546875" style="10" customWidth="1"/>
    <col min="13835" max="13835" width="8" style="10" customWidth="1"/>
    <col min="13836" max="14080" width="9.140625" style="10"/>
    <col min="14081" max="14081" width="11.85546875" style="10" customWidth="1"/>
    <col min="14082" max="14084" width="9.140625" style="10"/>
    <col min="14085" max="14085" width="10.85546875" style="10" customWidth="1"/>
    <col min="14086" max="14086" width="10.5703125" style="10" customWidth="1"/>
    <col min="14087" max="14088" width="10.85546875" style="10" customWidth="1"/>
    <col min="14089" max="14089" width="9.42578125" style="10" customWidth="1"/>
    <col min="14090" max="14090" width="9.85546875" style="10" customWidth="1"/>
    <col min="14091" max="14091" width="8" style="10" customWidth="1"/>
    <col min="14092" max="14336" width="9.140625" style="10"/>
    <col min="14337" max="14337" width="11.85546875" style="10" customWidth="1"/>
    <col min="14338" max="14340" width="9.140625" style="10"/>
    <col min="14341" max="14341" width="10.85546875" style="10" customWidth="1"/>
    <col min="14342" max="14342" width="10.5703125" style="10" customWidth="1"/>
    <col min="14343" max="14344" width="10.85546875" style="10" customWidth="1"/>
    <col min="14345" max="14345" width="9.42578125" style="10" customWidth="1"/>
    <col min="14346" max="14346" width="9.85546875" style="10" customWidth="1"/>
    <col min="14347" max="14347" width="8" style="10" customWidth="1"/>
    <col min="14348" max="14592" width="9.140625" style="10"/>
    <col min="14593" max="14593" width="11.85546875" style="10" customWidth="1"/>
    <col min="14594" max="14596" width="9.140625" style="10"/>
    <col min="14597" max="14597" width="10.85546875" style="10" customWidth="1"/>
    <col min="14598" max="14598" width="10.5703125" style="10" customWidth="1"/>
    <col min="14599" max="14600" width="10.85546875" style="10" customWidth="1"/>
    <col min="14601" max="14601" width="9.42578125" style="10" customWidth="1"/>
    <col min="14602" max="14602" width="9.85546875" style="10" customWidth="1"/>
    <col min="14603" max="14603" width="8" style="10" customWidth="1"/>
    <col min="14604" max="14848" width="9.140625" style="10"/>
    <col min="14849" max="14849" width="11.85546875" style="10" customWidth="1"/>
    <col min="14850" max="14852" width="9.140625" style="10"/>
    <col min="14853" max="14853" width="10.85546875" style="10" customWidth="1"/>
    <col min="14854" max="14854" width="10.5703125" style="10" customWidth="1"/>
    <col min="14855" max="14856" width="10.85546875" style="10" customWidth="1"/>
    <col min="14857" max="14857" width="9.42578125" style="10" customWidth="1"/>
    <col min="14858" max="14858" width="9.85546875" style="10" customWidth="1"/>
    <col min="14859" max="14859" width="8" style="10" customWidth="1"/>
    <col min="14860" max="15104" width="9.140625" style="10"/>
    <col min="15105" max="15105" width="11.85546875" style="10" customWidth="1"/>
    <col min="15106" max="15108" width="9.140625" style="10"/>
    <col min="15109" max="15109" width="10.85546875" style="10" customWidth="1"/>
    <col min="15110" max="15110" width="10.5703125" style="10" customWidth="1"/>
    <col min="15111" max="15112" width="10.85546875" style="10" customWidth="1"/>
    <col min="15113" max="15113" width="9.42578125" style="10" customWidth="1"/>
    <col min="15114" max="15114" width="9.85546875" style="10" customWidth="1"/>
    <col min="15115" max="15115" width="8" style="10" customWidth="1"/>
    <col min="15116" max="15360" width="9.140625" style="10"/>
    <col min="15361" max="15361" width="11.85546875" style="10" customWidth="1"/>
    <col min="15362" max="15364" width="9.140625" style="10"/>
    <col min="15365" max="15365" width="10.85546875" style="10" customWidth="1"/>
    <col min="15366" max="15366" width="10.5703125" style="10" customWidth="1"/>
    <col min="15367" max="15368" width="10.85546875" style="10" customWidth="1"/>
    <col min="15369" max="15369" width="9.42578125" style="10" customWidth="1"/>
    <col min="15370" max="15370" width="9.85546875" style="10" customWidth="1"/>
    <col min="15371" max="15371" width="8" style="10" customWidth="1"/>
    <col min="15372" max="15616" width="9.140625" style="10"/>
    <col min="15617" max="15617" width="11.85546875" style="10" customWidth="1"/>
    <col min="15618" max="15620" width="9.140625" style="10"/>
    <col min="15621" max="15621" width="10.85546875" style="10" customWidth="1"/>
    <col min="15622" max="15622" width="10.5703125" style="10" customWidth="1"/>
    <col min="15623" max="15624" width="10.85546875" style="10" customWidth="1"/>
    <col min="15625" max="15625" width="9.42578125" style="10" customWidth="1"/>
    <col min="15626" max="15626" width="9.85546875" style="10" customWidth="1"/>
    <col min="15627" max="15627" width="8" style="10" customWidth="1"/>
    <col min="15628" max="15872" width="9.140625" style="10"/>
    <col min="15873" max="15873" width="11.85546875" style="10" customWidth="1"/>
    <col min="15874" max="15876" width="9.140625" style="10"/>
    <col min="15877" max="15877" width="10.85546875" style="10" customWidth="1"/>
    <col min="15878" max="15878" width="10.5703125" style="10" customWidth="1"/>
    <col min="15879" max="15880" width="10.85546875" style="10" customWidth="1"/>
    <col min="15881" max="15881" width="9.42578125" style="10" customWidth="1"/>
    <col min="15882" max="15882" width="9.85546875" style="10" customWidth="1"/>
    <col min="15883" max="15883" width="8" style="10" customWidth="1"/>
    <col min="15884" max="16128" width="9.140625" style="10"/>
    <col min="16129" max="16129" width="11.85546875" style="10" customWidth="1"/>
    <col min="16130" max="16132" width="9.140625" style="10"/>
    <col min="16133" max="16133" width="10.85546875" style="10" customWidth="1"/>
    <col min="16134" max="16134" width="10.5703125" style="10" customWidth="1"/>
    <col min="16135" max="16136" width="10.85546875" style="10" customWidth="1"/>
    <col min="16137" max="16137" width="9.42578125" style="10" customWidth="1"/>
    <col min="16138" max="16138" width="9.85546875" style="10" customWidth="1"/>
    <col min="16139" max="16139" width="8" style="10" customWidth="1"/>
    <col min="16140" max="16384" width="9.140625" style="10"/>
  </cols>
  <sheetData>
    <row r="1" spans="1:12" ht="11.25" customHeight="1" x14ac:dyDescent="0.2">
      <c r="A1" s="42" t="s">
        <v>425</v>
      </c>
      <c r="B1" s="43"/>
      <c r="C1" s="43"/>
      <c r="D1" s="43"/>
      <c r="E1" s="44"/>
      <c r="F1" s="44"/>
      <c r="G1" s="45"/>
      <c r="H1" s="46"/>
      <c r="I1" s="44"/>
      <c r="J1" s="44"/>
    </row>
    <row r="2" spans="1:12" x14ac:dyDescent="0.2">
      <c r="A2" s="47" t="s">
        <v>183</v>
      </c>
      <c r="B2" s="48" t="s">
        <v>18</v>
      </c>
      <c r="C2" s="48" t="s">
        <v>273</v>
      </c>
      <c r="D2" s="48" t="s">
        <v>333</v>
      </c>
      <c r="E2" s="48" t="s">
        <v>333</v>
      </c>
      <c r="F2" s="47" t="s">
        <v>275</v>
      </c>
      <c r="G2" s="49" t="s">
        <v>275</v>
      </c>
      <c r="H2" s="50" t="s">
        <v>190</v>
      </c>
      <c r="I2" s="47" t="s">
        <v>191</v>
      </c>
      <c r="J2" s="47" t="s">
        <v>190</v>
      </c>
      <c r="K2" s="154" t="s">
        <v>426</v>
      </c>
      <c r="L2" s="210" t="s">
        <v>190</v>
      </c>
    </row>
    <row r="3" spans="1:12" x14ac:dyDescent="0.2">
      <c r="A3" s="47" t="s">
        <v>174</v>
      </c>
      <c r="B3" s="48" t="s">
        <v>341</v>
      </c>
      <c r="C3" s="48" t="s">
        <v>276</v>
      </c>
      <c r="D3" s="48" t="s">
        <v>334</v>
      </c>
      <c r="E3" s="48" t="s">
        <v>334</v>
      </c>
      <c r="F3" s="47" t="s">
        <v>278</v>
      </c>
      <c r="G3" s="49" t="s">
        <v>279</v>
      </c>
      <c r="H3" s="50" t="s">
        <v>431</v>
      </c>
      <c r="I3" s="47" t="s">
        <v>194</v>
      </c>
      <c r="J3" s="47" t="s">
        <v>280</v>
      </c>
      <c r="K3" s="47" t="s">
        <v>427</v>
      </c>
      <c r="L3" s="50" t="s">
        <v>409</v>
      </c>
    </row>
    <row r="4" spans="1:12" x14ac:dyDescent="0.2">
      <c r="A4" s="44"/>
      <c r="B4" s="43"/>
      <c r="C4" s="43" t="s">
        <v>281</v>
      </c>
      <c r="D4" s="43" t="s">
        <v>335</v>
      </c>
      <c r="E4" s="51" t="s">
        <v>281</v>
      </c>
      <c r="F4" s="51" t="s">
        <v>277</v>
      </c>
      <c r="G4" s="45" t="s">
        <v>282</v>
      </c>
      <c r="H4" s="46"/>
      <c r="I4" s="51"/>
      <c r="J4" s="51" t="s">
        <v>283</v>
      </c>
      <c r="K4" s="126" t="s">
        <v>428</v>
      </c>
      <c r="L4" s="126" t="s">
        <v>428</v>
      </c>
    </row>
    <row r="5" spans="1:12" x14ac:dyDescent="0.2">
      <c r="B5" s="52" t="s">
        <v>284</v>
      </c>
      <c r="C5" s="52"/>
      <c r="D5" s="52"/>
      <c r="E5" s="47" t="s">
        <v>274</v>
      </c>
      <c r="F5" s="47" t="s">
        <v>285</v>
      </c>
      <c r="G5" s="49">
        <v>1000</v>
      </c>
      <c r="H5" s="50" t="s">
        <v>286</v>
      </c>
      <c r="I5" s="47" t="s">
        <v>274</v>
      </c>
      <c r="J5" s="47" t="s">
        <v>287</v>
      </c>
      <c r="K5" s="47" t="s">
        <v>287</v>
      </c>
      <c r="L5" s="47" t="s">
        <v>287</v>
      </c>
    </row>
    <row r="6" spans="1:12" x14ac:dyDescent="0.2">
      <c r="G6" s="49" t="s">
        <v>288</v>
      </c>
      <c r="H6" s="50" t="s">
        <v>289</v>
      </c>
      <c r="J6" s="47" t="s">
        <v>289</v>
      </c>
      <c r="K6" s="47" t="s">
        <v>289</v>
      </c>
      <c r="L6" s="47" t="s">
        <v>289</v>
      </c>
    </row>
    <row r="7" spans="1:12" x14ac:dyDescent="0.2">
      <c r="J7" s="47"/>
    </row>
    <row r="8" spans="1:12" x14ac:dyDescent="0.2">
      <c r="A8" s="21" t="s">
        <v>290</v>
      </c>
      <c r="E8" s="53"/>
    </row>
    <row r="9" spans="1:12" x14ac:dyDescent="0.2">
      <c r="A9" s="33" t="s">
        <v>199</v>
      </c>
      <c r="B9" s="54">
        <v>339.2</v>
      </c>
      <c r="C9" s="54">
        <f t="shared" ref="C9:C53" si="0">B9-D9</f>
        <v>18.5</v>
      </c>
      <c r="D9" s="54">
        <v>320.7</v>
      </c>
      <c r="E9" s="55">
        <f t="shared" ref="E9:E21" si="1">100*C9/B9</f>
        <v>5.4540094339622645</v>
      </c>
      <c r="F9" s="55">
        <f t="shared" ref="F9:F52" si="2">G9/D9</f>
        <v>31.13501714998441</v>
      </c>
      <c r="G9" s="56">
        <v>9985</v>
      </c>
      <c r="H9" s="49">
        <v>1121</v>
      </c>
      <c r="I9" s="57">
        <f t="shared" ref="I9:I21" si="3">100*H9/G9</f>
        <v>11.226840260390587</v>
      </c>
      <c r="J9" s="58">
        <f t="shared" ref="J9:J51" si="4">H9/D9</f>
        <v>3.4954786404739635</v>
      </c>
      <c r="K9" s="124" t="s">
        <v>152</v>
      </c>
      <c r="L9" s="124" t="s">
        <v>152</v>
      </c>
    </row>
    <row r="10" spans="1:12" x14ac:dyDescent="0.2">
      <c r="A10" s="33" t="s">
        <v>200</v>
      </c>
      <c r="B10" s="54">
        <v>348.2</v>
      </c>
      <c r="C10" s="54">
        <f t="shared" si="0"/>
        <v>13.800000000000011</v>
      </c>
      <c r="D10" s="54">
        <v>334.4</v>
      </c>
      <c r="E10" s="55">
        <f t="shared" si="1"/>
        <v>3.9632395175186708</v>
      </c>
      <c r="F10" s="55">
        <f t="shared" si="2"/>
        <v>28.4988038277512</v>
      </c>
      <c r="G10" s="56">
        <v>9530</v>
      </c>
      <c r="H10" s="49">
        <v>963</v>
      </c>
      <c r="I10" s="57">
        <f t="shared" si="3"/>
        <v>10.104931794333684</v>
      </c>
      <c r="J10" s="58">
        <f t="shared" si="4"/>
        <v>2.8797846889952154</v>
      </c>
      <c r="K10" s="124" t="s">
        <v>152</v>
      </c>
      <c r="L10" s="124" t="s">
        <v>152</v>
      </c>
    </row>
    <row r="11" spans="1:12" x14ac:dyDescent="0.2">
      <c r="A11" s="33" t="s">
        <v>201</v>
      </c>
      <c r="B11" s="54">
        <v>355.3</v>
      </c>
      <c r="C11" s="54">
        <f t="shared" si="0"/>
        <v>13.900000000000034</v>
      </c>
      <c r="D11" s="54">
        <v>341.4</v>
      </c>
      <c r="E11" s="55">
        <f t="shared" si="1"/>
        <v>3.9121868843231167</v>
      </c>
      <c r="F11" s="55">
        <f t="shared" si="2"/>
        <v>35.40128881077915</v>
      </c>
      <c r="G11" s="56">
        <v>12086</v>
      </c>
      <c r="H11" s="49">
        <v>1307</v>
      </c>
      <c r="I11" s="57">
        <f t="shared" si="3"/>
        <v>10.814165149760052</v>
      </c>
      <c r="J11" s="58">
        <f t="shared" si="4"/>
        <v>3.8283538371411838</v>
      </c>
      <c r="K11" s="124" t="s">
        <v>152</v>
      </c>
      <c r="L11" s="124" t="s">
        <v>152</v>
      </c>
    </row>
    <row r="12" spans="1:12" x14ac:dyDescent="0.2">
      <c r="A12" s="33" t="s">
        <v>202</v>
      </c>
      <c r="B12" s="54">
        <v>367.9</v>
      </c>
      <c r="C12" s="54">
        <f t="shared" si="0"/>
        <v>6.7999999999999545</v>
      </c>
      <c r="D12" s="54">
        <v>361.1</v>
      </c>
      <c r="E12" s="55">
        <f t="shared" si="1"/>
        <v>1.8483283500951222</v>
      </c>
      <c r="F12" s="55">
        <f t="shared" si="2"/>
        <v>31.376350041539737</v>
      </c>
      <c r="G12" s="56">
        <v>11330</v>
      </c>
      <c r="H12" s="49">
        <v>1223</v>
      </c>
      <c r="I12" s="57">
        <f t="shared" si="3"/>
        <v>10.794351279788174</v>
      </c>
      <c r="J12" s="58">
        <f t="shared" si="4"/>
        <v>3.3868734422597617</v>
      </c>
      <c r="K12" s="124" t="s">
        <v>152</v>
      </c>
      <c r="L12" s="124" t="s">
        <v>152</v>
      </c>
    </row>
    <row r="13" spans="1:12" x14ac:dyDescent="0.2">
      <c r="A13" s="33" t="s">
        <v>203</v>
      </c>
      <c r="B13" s="54">
        <v>387</v>
      </c>
      <c r="C13" s="54">
        <f t="shared" si="0"/>
        <v>15.100000000000023</v>
      </c>
      <c r="D13" s="54">
        <v>371.9</v>
      </c>
      <c r="E13" s="55">
        <f t="shared" si="1"/>
        <v>3.9018087855297217</v>
      </c>
      <c r="F13" s="55">
        <f t="shared" si="2"/>
        <v>32.500672223716052</v>
      </c>
      <c r="G13" s="56">
        <v>12087</v>
      </c>
      <c r="H13" s="49">
        <v>1412</v>
      </c>
      <c r="I13" s="57">
        <f t="shared" si="3"/>
        <v>11.681972367005875</v>
      </c>
      <c r="J13" s="58">
        <f t="shared" si="4"/>
        <v>3.796719548265663</v>
      </c>
      <c r="K13" s="124" t="s">
        <v>152</v>
      </c>
      <c r="L13" s="124" t="s">
        <v>152</v>
      </c>
    </row>
    <row r="14" spans="1:12" x14ac:dyDescent="0.2">
      <c r="A14" s="33" t="s">
        <v>204</v>
      </c>
      <c r="B14" s="54">
        <v>398.7</v>
      </c>
      <c r="C14" s="54">
        <f t="shared" si="0"/>
        <v>15.300000000000011</v>
      </c>
      <c r="D14" s="54">
        <v>383.4</v>
      </c>
      <c r="E14" s="55">
        <f t="shared" si="1"/>
        <v>3.8374717832957139</v>
      </c>
      <c r="F14" s="55">
        <f t="shared" si="2"/>
        <v>32.902973395931141</v>
      </c>
      <c r="G14" s="56">
        <v>12615</v>
      </c>
      <c r="H14" s="49">
        <v>1413</v>
      </c>
      <c r="I14" s="57">
        <f t="shared" si="3"/>
        <v>11.200951248513674</v>
      </c>
      <c r="J14" s="58">
        <f t="shared" si="4"/>
        <v>3.6854460093896715</v>
      </c>
      <c r="K14" s="124" t="s">
        <v>152</v>
      </c>
      <c r="L14" s="124" t="s">
        <v>152</v>
      </c>
    </row>
    <row r="15" spans="1:12" x14ac:dyDescent="0.2">
      <c r="A15" s="33" t="s">
        <v>205</v>
      </c>
      <c r="B15" s="54">
        <v>405</v>
      </c>
      <c r="C15" s="54">
        <f t="shared" si="0"/>
        <v>15</v>
      </c>
      <c r="D15" s="54">
        <v>390</v>
      </c>
      <c r="E15" s="55">
        <f t="shared" si="1"/>
        <v>3.7037037037037037</v>
      </c>
      <c r="F15" s="55">
        <f t="shared" si="2"/>
        <v>33.117948717948721</v>
      </c>
      <c r="G15" s="56">
        <v>12916</v>
      </c>
      <c r="H15" s="49">
        <v>1476</v>
      </c>
      <c r="I15" s="57">
        <f t="shared" si="3"/>
        <v>11.427686590275627</v>
      </c>
      <c r="J15" s="58">
        <f t="shared" si="4"/>
        <v>3.7846153846153845</v>
      </c>
      <c r="K15" s="124" t="s">
        <v>152</v>
      </c>
      <c r="L15" s="124" t="s">
        <v>152</v>
      </c>
    </row>
    <row r="16" spans="1:12" x14ac:dyDescent="0.2">
      <c r="A16" s="33" t="s">
        <v>206</v>
      </c>
      <c r="B16" s="54">
        <v>417</v>
      </c>
      <c r="C16" s="54">
        <f t="shared" si="0"/>
        <v>15</v>
      </c>
      <c r="D16" s="54">
        <v>402</v>
      </c>
      <c r="E16" s="55">
        <f t="shared" si="1"/>
        <v>3.5971223021582732</v>
      </c>
      <c r="F16" s="55">
        <f t="shared" si="2"/>
        <v>32.313432835820898</v>
      </c>
      <c r="G16" s="56">
        <v>12990</v>
      </c>
      <c r="H16" s="49">
        <v>1517</v>
      </c>
      <c r="I16" s="57">
        <f t="shared" si="3"/>
        <v>11.678214010777522</v>
      </c>
      <c r="J16" s="58">
        <f t="shared" si="4"/>
        <v>3.7736318407960199</v>
      </c>
      <c r="K16" s="124" t="s">
        <v>152</v>
      </c>
      <c r="L16" s="124" t="s">
        <v>152</v>
      </c>
    </row>
    <row r="17" spans="1:12" x14ac:dyDescent="0.2">
      <c r="A17" s="33" t="s">
        <v>207</v>
      </c>
      <c r="B17" s="54">
        <v>421</v>
      </c>
      <c r="C17" s="54">
        <f t="shared" si="0"/>
        <v>17</v>
      </c>
      <c r="D17" s="54">
        <v>404</v>
      </c>
      <c r="E17" s="55">
        <f t="shared" si="1"/>
        <v>4.0380047505938244</v>
      </c>
      <c r="F17" s="55">
        <f t="shared" si="2"/>
        <v>31.599009900990097</v>
      </c>
      <c r="G17" s="56">
        <v>12766</v>
      </c>
      <c r="H17" s="49">
        <v>1566</v>
      </c>
      <c r="I17" s="57">
        <f t="shared" si="3"/>
        <v>12.2669591101363</v>
      </c>
      <c r="J17" s="58">
        <f t="shared" si="4"/>
        <v>3.8762376237623761</v>
      </c>
      <c r="K17" s="124" t="s">
        <v>152</v>
      </c>
      <c r="L17" s="124" t="s">
        <v>152</v>
      </c>
    </row>
    <row r="18" spans="1:12" x14ac:dyDescent="0.2">
      <c r="A18" s="33" t="s">
        <v>208</v>
      </c>
      <c r="B18" s="54">
        <v>420</v>
      </c>
      <c r="C18" s="54">
        <f t="shared" si="0"/>
        <v>15</v>
      </c>
      <c r="D18" s="54">
        <v>405</v>
      </c>
      <c r="E18" s="55">
        <f t="shared" si="1"/>
        <v>3.5714285714285716</v>
      </c>
      <c r="F18" s="55">
        <f t="shared" si="2"/>
        <v>31.4</v>
      </c>
      <c r="G18" s="56">
        <v>12717</v>
      </c>
      <c r="H18" s="49">
        <v>1399</v>
      </c>
      <c r="I18" s="57">
        <f t="shared" si="3"/>
        <v>11.001022253676181</v>
      </c>
      <c r="J18" s="58">
        <f t="shared" si="4"/>
        <v>3.4543209876543211</v>
      </c>
      <c r="K18" s="124" t="s">
        <v>152</v>
      </c>
      <c r="L18" s="124" t="s">
        <v>152</v>
      </c>
    </row>
    <row r="19" spans="1:12" x14ac:dyDescent="0.2">
      <c r="A19" s="33" t="s">
        <v>209</v>
      </c>
      <c r="B19" s="54">
        <v>434</v>
      </c>
      <c r="C19" s="54">
        <f t="shared" si="0"/>
        <v>15</v>
      </c>
      <c r="D19" s="54">
        <v>419</v>
      </c>
      <c r="E19" s="55">
        <f t="shared" si="1"/>
        <v>3.4562211981566819</v>
      </c>
      <c r="F19" s="55">
        <f t="shared" si="2"/>
        <v>35.498806682577566</v>
      </c>
      <c r="G19" s="56">
        <v>14874</v>
      </c>
      <c r="H19" s="49">
        <v>1806</v>
      </c>
      <c r="I19" s="57">
        <f t="shared" si="3"/>
        <v>12.141992739007664</v>
      </c>
      <c r="J19" s="58">
        <f t="shared" si="4"/>
        <v>4.3102625298329356</v>
      </c>
      <c r="K19" s="124" t="s">
        <v>152</v>
      </c>
      <c r="L19" s="124" t="s">
        <v>152</v>
      </c>
    </row>
    <row r="20" spans="1:12" x14ac:dyDescent="0.2">
      <c r="A20" s="33" t="s">
        <v>210</v>
      </c>
      <c r="B20" s="54">
        <v>443</v>
      </c>
      <c r="C20" s="54">
        <f t="shared" si="0"/>
        <v>15</v>
      </c>
      <c r="D20" s="54">
        <v>428</v>
      </c>
      <c r="E20" s="55">
        <f t="shared" si="1"/>
        <v>3.386004514672686</v>
      </c>
      <c r="F20" s="55">
        <f t="shared" si="2"/>
        <v>34.899532710280376</v>
      </c>
      <c r="G20" s="56">
        <v>14937</v>
      </c>
      <c r="H20" s="49">
        <v>1832.2</v>
      </c>
      <c r="I20" s="57">
        <f t="shared" si="3"/>
        <v>12.266184642163754</v>
      </c>
      <c r="J20" s="58">
        <f t="shared" si="4"/>
        <v>4.2808411214953273</v>
      </c>
      <c r="K20" s="124" t="s">
        <v>152</v>
      </c>
      <c r="L20" s="124" t="s">
        <v>152</v>
      </c>
    </row>
    <row r="21" spans="1:12" x14ac:dyDescent="0.2">
      <c r="A21" s="33" t="s">
        <v>211</v>
      </c>
      <c r="B21" s="54">
        <v>443</v>
      </c>
      <c r="C21" s="54">
        <f t="shared" si="0"/>
        <v>17</v>
      </c>
      <c r="D21" s="54">
        <v>426</v>
      </c>
      <c r="E21" s="55">
        <f t="shared" si="1"/>
        <v>3.8374717832957113</v>
      </c>
      <c r="F21" s="55">
        <f t="shared" si="2"/>
        <v>33.199530516431928</v>
      </c>
      <c r="G21" s="56">
        <v>14143</v>
      </c>
      <c r="H21" s="49">
        <v>1710</v>
      </c>
      <c r="I21" s="57">
        <f t="shared" si="3"/>
        <v>12.090786961747861</v>
      </c>
      <c r="J21" s="58">
        <f t="shared" si="4"/>
        <v>4.0140845070422539</v>
      </c>
      <c r="K21" s="124" t="s">
        <v>152</v>
      </c>
      <c r="L21" s="124" t="s">
        <v>152</v>
      </c>
    </row>
    <row r="22" spans="1:12" x14ac:dyDescent="0.2">
      <c r="A22" s="33" t="s">
        <v>212</v>
      </c>
      <c r="B22" s="54">
        <v>444</v>
      </c>
      <c r="C22" s="54">
        <f t="shared" si="0"/>
        <v>19</v>
      </c>
      <c r="D22" s="54">
        <v>425</v>
      </c>
      <c r="E22" s="55">
        <f t="shared" ref="E22:E47" si="5">C22/B22*100</f>
        <v>4.2792792792792795</v>
      </c>
      <c r="F22" s="55">
        <f t="shared" si="2"/>
        <v>34.101176470588236</v>
      </c>
      <c r="G22" s="56">
        <v>14493</v>
      </c>
      <c r="H22" s="49">
        <v>1770.63</v>
      </c>
      <c r="I22" s="57">
        <f t="shared" ref="I22:I48" si="6">H22/G22*100</f>
        <v>12.217139308631754</v>
      </c>
      <c r="J22" s="58">
        <f t="shared" si="4"/>
        <v>4.1661882352941175</v>
      </c>
      <c r="K22" s="124" t="s">
        <v>152</v>
      </c>
      <c r="L22" s="124" t="s">
        <v>152</v>
      </c>
    </row>
    <row r="23" spans="1:12" x14ac:dyDescent="0.2">
      <c r="A23" s="33" t="s">
        <v>213</v>
      </c>
      <c r="B23" s="54">
        <v>444</v>
      </c>
      <c r="C23" s="54">
        <f t="shared" si="0"/>
        <v>21</v>
      </c>
      <c r="D23" s="54">
        <v>423</v>
      </c>
      <c r="E23" s="55">
        <f t="shared" si="5"/>
        <v>4.7297297297297298</v>
      </c>
      <c r="F23" s="55">
        <f t="shared" si="2"/>
        <v>33.600472813238774</v>
      </c>
      <c r="G23" s="56">
        <v>14213</v>
      </c>
      <c r="H23" s="49">
        <v>1725.569</v>
      </c>
      <c r="I23" s="57">
        <f t="shared" si="6"/>
        <v>12.140779568001125</v>
      </c>
      <c r="J23" s="58">
        <f t="shared" si="4"/>
        <v>4.0793593380614652</v>
      </c>
      <c r="K23" s="124" t="s">
        <v>152</v>
      </c>
      <c r="L23" s="124" t="s">
        <v>152</v>
      </c>
    </row>
    <row r="24" spans="1:12" x14ac:dyDescent="0.2">
      <c r="A24" s="33" t="s">
        <v>214</v>
      </c>
      <c r="B24" s="54">
        <v>437</v>
      </c>
      <c r="C24" s="54">
        <f t="shared" si="0"/>
        <v>20</v>
      </c>
      <c r="D24" s="54">
        <v>417</v>
      </c>
      <c r="E24" s="55">
        <f t="shared" si="5"/>
        <v>4.5766590389016013</v>
      </c>
      <c r="F24" s="55">
        <f t="shared" si="2"/>
        <v>34.599520383693047</v>
      </c>
      <c r="G24" s="56">
        <v>14428</v>
      </c>
      <c r="H24" s="49">
        <v>1771.4870000000001</v>
      </c>
      <c r="I24" s="57">
        <f t="shared" si="6"/>
        <v>12.278118935403382</v>
      </c>
      <c r="J24" s="58">
        <f t="shared" si="4"/>
        <v>4.2481702637889693</v>
      </c>
      <c r="K24" s="124" t="s">
        <v>152</v>
      </c>
      <c r="L24" s="124" t="s">
        <v>152</v>
      </c>
    </row>
    <row r="25" spans="1:12" x14ac:dyDescent="0.2">
      <c r="A25" s="33" t="s">
        <v>215</v>
      </c>
      <c r="B25" s="54">
        <v>438</v>
      </c>
      <c r="C25" s="54">
        <f t="shared" si="0"/>
        <v>21</v>
      </c>
      <c r="D25" s="54">
        <v>417</v>
      </c>
      <c r="E25" s="55">
        <f t="shared" si="5"/>
        <v>4.7945205479452051</v>
      </c>
      <c r="F25" s="55">
        <f t="shared" si="2"/>
        <v>33.100719424460429</v>
      </c>
      <c r="G25" s="56">
        <v>13803</v>
      </c>
      <c r="H25" s="49">
        <v>1679.1640000000002</v>
      </c>
      <c r="I25" s="57">
        <f t="shared" si="6"/>
        <v>12.16521046149388</v>
      </c>
      <c r="J25" s="58">
        <f t="shared" si="4"/>
        <v>4.0267721822541969</v>
      </c>
      <c r="K25" s="124" t="s">
        <v>152</v>
      </c>
      <c r="L25" s="124" t="s">
        <v>152</v>
      </c>
    </row>
    <row r="26" spans="1:12" x14ac:dyDescent="0.2">
      <c r="A26" s="33" t="s">
        <v>216</v>
      </c>
      <c r="B26" s="54">
        <v>440</v>
      </c>
      <c r="C26" s="54">
        <f t="shared" si="0"/>
        <v>19</v>
      </c>
      <c r="D26" s="54">
        <v>421</v>
      </c>
      <c r="E26" s="55">
        <f t="shared" si="5"/>
        <v>4.3181818181818183</v>
      </c>
      <c r="F26" s="55">
        <f t="shared" si="2"/>
        <v>36.900237529691211</v>
      </c>
      <c r="G26" s="56">
        <v>15535</v>
      </c>
      <c r="H26" s="49">
        <v>1923.731</v>
      </c>
      <c r="I26" s="57">
        <f t="shared" si="6"/>
        <v>12.383205664628258</v>
      </c>
      <c r="J26" s="58">
        <f t="shared" si="4"/>
        <v>4.5694323040380045</v>
      </c>
      <c r="K26" s="124" t="s">
        <v>152</v>
      </c>
      <c r="L26" s="124" t="s">
        <v>152</v>
      </c>
    </row>
    <row r="27" spans="1:12" x14ac:dyDescent="0.2">
      <c r="A27" s="33" t="s">
        <v>217</v>
      </c>
      <c r="B27" s="54">
        <v>447</v>
      </c>
      <c r="C27" s="54">
        <f t="shared" si="0"/>
        <v>21</v>
      </c>
      <c r="D27" s="54">
        <v>426</v>
      </c>
      <c r="E27" s="55">
        <f t="shared" si="5"/>
        <v>4.6979865771812079</v>
      </c>
      <c r="F27" s="55">
        <f t="shared" si="2"/>
        <v>40.100938967136152</v>
      </c>
      <c r="G27" s="56">
        <v>17083</v>
      </c>
      <c r="H27" s="49">
        <v>2131.578</v>
      </c>
      <c r="I27" s="57">
        <f t="shared" si="6"/>
        <v>12.477773224843411</v>
      </c>
      <c r="J27" s="58">
        <f t="shared" si="4"/>
        <v>5.0037042253521129</v>
      </c>
      <c r="K27" s="124" t="s">
        <v>152</v>
      </c>
      <c r="L27" s="124" t="s">
        <v>152</v>
      </c>
    </row>
    <row r="28" spans="1:12" x14ac:dyDescent="0.2">
      <c r="A28" s="33" t="s">
        <v>291</v>
      </c>
      <c r="B28" s="54">
        <v>460</v>
      </c>
      <c r="C28" s="54">
        <f t="shared" si="0"/>
        <v>17</v>
      </c>
      <c r="D28" s="54">
        <v>443</v>
      </c>
      <c r="E28" s="55">
        <f t="shared" si="5"/>
        <v>3.6956521739130435</v>
      </c>
      <c r="F28" s="55">
        <f t="shared" si="2"/>
        <v>35</v>
      </c>
      <c r="G28" s="56">
        <v>15505</v>
      </c>
      <c r="H28" s="49">
        <v>1965.6479999999999</v>
      </c>
      <c r="I28" s="57">
        <f t="shared" si="6"/>
        <v>12.677510480490165</v>
      </c>
      <c r="J28" s="58">
        <f t="shared" si="4"/>
        <v>4.4371286681715576</v>
      </c>
      <c r="K28" s="124" t="s">
        <v>152</v>
      </c>
      <c r="L28" s="124" t="s">
        <v>152</v>
      </c>
    </row>
    <row r="29" spans="1:12" x14ac:dyDescent="0.2">
      <c r="A29" s="33" t="s">
        <v>292</v>
      </c>
      <c r="B29" s="54">
        <v>445</v>
      </c>
      <c r="C29" s="54">
        <f t="shared" si="0"/>
        <v>9</v>
      </c>
      <c r="D29" s="54">
        <v>436</v>
      </c>
      <c r="E29" s="55">
        <f t="shared" si="5"/>
        <v>2.0224719101123596</v>
      </c>
      <c r="F29" s="55">
        <f t="shared" si="2"/>
        <v>37.5</v>
      </c>
      <c r="G29" s="56">
        <v>16350</v>
      </c>
      <c r="H29" s="49">
        <v>2056.6590000000001</v>
      </c>
      <c r="I29" s="57">
        <f t="shared" si="6"/>
        <v>12.578954128440367</v>
      </c>
      <c r="J29" s="58">
        <f t="shared" si="4"/>
        <v>4.7171077981651379</v>
      </c>
      <c r="K29" s="124" t="s">
        <v>152</v>
      </c>
      <c r="L29" s="124" t="s">
        <v>152</v>
      </c>
    </row>
    <row r="30" spans="1:12" x14ac:dyDescent="0.2">
      <c r="A30" s="33" t="s">
        <v>293</v>
      </c>
      <c r="B30" s="54">
        <v>465</v>
      </c>
      <c r="C30" s="54">
        <f t="shared" si="0"/>
        <v>20</v>
      </c>
      <c r="D30" s="54">
        <v>445</v>
      </c>
      <c r="E30" s="55">
        <f t="shared" si="5"/>
        <v>4.3010752688172049</v>
      </c>
      <c r="F30" s="55">
        <f t="shared" si="2"/>
        <v>35.101123595505619</v>
      </c>
      <c r="G30" s="56">
        <v>15620</v>
      </c>
      <c r="H30" s="49">
        <v>1980.2819999999999</v>
      </c>
      <c r="I30" s="57">
        <f t="shared" si="6"/>
        <v>12.677861715749039</v>
      </c>
      <c r="J30" s="58">
        <f t="shared" si="4"/>
        <v>4.4500719101123591</v>
      </c>
      <c r="K30" s="124" t="s">
        <v>152</v>
      </c>
      <c r="L30" s="124" t="s">
        <v>152</v>
      </c>
    </row>
    <row r="31" spans="1:12" x14ac:dyDescent="0.2">
      <c r="A31" s="33" t="s">
        <v>294</v>
      </c>
      <c r="B31" s="54">
        <v>461</v>
      </c>
      <c r="C31" s="54">
        <f t="shared" si="0"/>
        <v>19</v>
      </c>
      <c r="D31" s="54">
        <v>442</v>
      </c>
      <c r="E31" s="55">
        <f t="shared" si="5"/>
        <v>4.1214750542299354</v>
      </c>
      <c r="F31" s="55">
        <f t="shared" si="2"/>
        <v>38.300904977375566</v>
      </c>
      <c r="G31" s="56">
        <v>16929</v>
      </c>
      <c r="H31" s="49">
        <v>2129</v>
      </c>
      <c r="I31" s="57">
        <f t="shared" si="6"/>
        <v>12.576052926930121</v>
      </c>
      <c r="J31" s="58">
        <f t="shared" si="4"/>
        <v>4.8167420814479636</v>
      </c>
      <c r="K31" s="124" t="s">
        <v>152</v>
      </c>
      <c r="L31" s="124" t="s">
        <v>152</v>
      </c>
    </row>
    <row r="32" spans="1:12" x14ac:dyDescent="0.2">
      <c r="A32" s="35" t="s">
        <v>222</v>
      </c>
      <c r="B32" s="54">
        <v>438</v>
      </c>
      <c r="C32" s="54">
        <f t="shared" si="0"/>
        <v>19</v>
      </c>
      <c r="D32" s="54">
        <v>419</v>
      </c>
      <c r="E32" s="55">
        <f t="shared" si="5"/>
        <v>4.3378995433789953</v>
      </c>
      <c r="F32" s="55">
        <f t="shared" si="2"/>
        <v>39.300715990453462</v>
      </c>
      <c r="G32" s="56">
        <v>16467</v>
      </c>
      <c r="H32" s="49">
        <v>2153.9830000000002</v>
      </c>
      <c r="I32" s="57">
        <f t="shared" si="6"/>
        <v>13.080603631505436</v>
      </c>
      <c r="J32" s="58">
        <f t="shared" si="4"/>
        <v>5.140770883054893</v>
      </c>
      <c r="K32" s="124" t="s">
        <v>152</v>
      </c>
      <c r="L32" s="124" t="s">
        <v>152</v>
      </c>
    </row>
    <row r="33" spans="1:12" x14ac:dyDescent="0.2">
      <c r="A33" s="35" t="s">
        <v>223</v>
      </c>
      <c r="B33" s="54">
        <v>406</v>
      </c>
      <c r="C33" s="54">
        <f t="shared" si="0"/>
        <v>21</v>
      </c>
      <c r="D33" s="54">
        <v>385</v>
      </c>
      <c r="E33" s="55">
        <f t="shared" si="5"/>
        <v>5.1724137931034484</v>
      </c>
      <c r="F33" s="55">
        <f t="shared" si="2"/>
        <v>34.9012987012987</v>
      </c>
      <c r="G33" s="56">
        <v>13437</v>
      </c>
      <c r="H33" s="49">
        <v>1692.6010000000001</v>
      </c>
      <c r="I33" s="57">
        <f t="shared" si="6"/>
        <v>12.596569174666966</v>
      </c>
      <c r="J33" s="58">
        <f t="shared" si="4"/>
        <v>4.3963662337662344</v>
      </c>
      <c r="K33" s="124" t="s">
        <v>152</v>
      </c>
      <c r="L33" s="124" t="s">
        <v>152</v>
      </c>
    </row>
    <row r="34" spans="1:12" x14ac:dyDescent="0.2">
      <c r="A34" s="35" t="s">
        <v>224</v>
      </c>
      <c r="B34" s="54">
        <v>401</v>
      </c>
      <c r="C34" s="54">
        <f t="shared" si="0"/>
        <v>25</v>
      </c>
      <c r="D34" s="54">
        <v>376</v>
      </c>
      <c r="E34" s="55">
        <f t="shared" si="5"/>
        <v>6.2344139650872821</v>
      </c>
      <c r="F34" s="55">
        <f t="shared" si="2"/>
        <v>31.398936170212767</v>
      </c>
      <c r="G34" s="56">
        <v>11806</v>
      </c>
      <c r="H34" s="49">
        <v>1367.4079999999999</v>
      </c>
      <c r="I34" s="57">
        <f t="shared" si="6"/>
        <v>11.582314077587666</v>
      </c>
      <c r="J34" s="58">
        <f t="shared" si="4"/>
        <v>3.6367234042553189</v>
      </c>
      <c r="K34" s="124" t="s">
        <v>152</v>
      </c>
      <c r="L34" s="124" t="s">
        <v>152</v>
      </c>
    </row>
    <row r="35" spans="1:12" x14ac:dyDescent="0.2">
      <c r="A35" s="33" t="s">
        <v>225</v>
      </c>
      <c r="B35" s="54">
        <v>400</v>
      </c>
      <c r="C35" s="54">
        <f t="shared" si="0"/>
        <v>18</v>
      </c>
      <c r="D35" s="54">
        <v>382</v>
      </c>
      <c r="E35" s="55">
        <f t="shared" si="5"/>
        <v>4.5</v>
      </c>
      <c r="F35" s="55">
        <f t="shared" si="2"/>
        <v>35.801047120418851</v>
      </c>
      <c r="G35" s="56">
        <v>13676</v>
      </c>
      <c r="H35" s="49">
        <v>1718.5250000000001</v>
      </c>
      <c r="I35" s="57">
        <f t="shared" si="6"/>
        <v>12.565991517987715</v>
      </c>
      <c r="J35" s="58">
        <f t="shared" si="4"/>
        <v>4.4987565445026183</v>
      </c>
      <c r="K35" s="124" t="s">
        <v>152</v>
      </c>
      <c r="L35" s="124" t="s">
        <v>152</v>
      </c>
    </row>
    <row r="36" spans="1:12" x14ac:dyDescent="0.2">
      <c r="A36" s="33" t="s">
        <v>226</v>
      </c>
      <c r="B36" s="54">
        <v>393</v>
      </c>
      <c r="C36" s="59">
        <f t="shared" si="0"/>
        <v>18</v>
      </c>
      <c r="D36" s="59">
        <v>375</v>
      </c>
      <c r="E36" s="55">
        <f t="shared" si="5"/>
        <v>4.5801526717557248</v>
      </c>
      <c r="F36" s="55">
        <f t="shared" si="2"/>
        <v>36</v>
      </c>
      <c r="G36" s="56">
        <v>13500</v>
      </c>
      <c r="H36" s="49">
        <v>1645</v>
      </c>
      <c r="I36" s="57">
        <f t="shared" si="6"/>
        <v>12.185185185185185</v>
      </c>
      <c r="J36" s="58">
        <f t="shared" si="4"/>
        <v>4.3866666666666667</v>
      </c>
      <c r="K36" s="124" t="s">
        <v>152</v>
      </c>
      <c r="L36" s="124" t="s">
        <v>152</v>
      </c>
    </row>
    <row r="37" spans="1:12" x14ac:dyDescent="0.2">
      <c r="A37" s="33" t="s">
        <v>227</v>
      </c>
      <c r="B37" s="54">
        <v>401</v>
      </c>
      <c r="C37" s="59">
        <f t="shared" si="0"/>
        <v>17</v>
      </c>
      <c r="D37" s="59">
        <v>384</v>
      </c>
      <c r="E37" s="55">
        <f t="shared" si="5"/>
        <v>4.2394014962593518</v>
      </c>
      <c r="F37" s="55">
        <f t="shared" si="2"/>
        <v>32.901041666666664</v>
      </c>
      <c r="G37" s="56">
        <v>12634</v>
      </c>
      <c r="H37" s="49">
        <v>1576.973</v>
      </c>
      <c r="I37" s="57">
        <f t="shared" si="6"/>
        <v>12.481977204369162</v>
      </c>
      <c r="J37" s="58">
        <f t="shared" si="4"/>
        <v>4.1067005208333329</v>
      </c>
      <c r="K37" s="124" t="s">
        <v>152</v>
      </c>
      <c r="L37" s="124" t="s">
        <v>152</v>
      </c>
    </row>
    <row r="38" spans="1:12" x14ac:dyDescent="0.2">
      <c r="A38" s="35" t="s">
        <v>228</v>
      </c>
      <c r="B38" s="54">
        <v>387</v>
      </c>
      <c r="C38" s="59">
        <f t="shared" si="0"/>
        <v>17</v>
      </c>
      <c r="D38" s="59">
        <v>370</v>
      </c>
      <c r="E38" s="55">
        <f t="shared" si="5"/>
        <v>4.3927648578811365</v>
      </c>
      <c r="F38" s="55">
        <f t="shared" si="2"/>
        <v>35.9</v>
      </c>
      <c r="G38" s="56">
        <v>13283</v>
      </c>
      <c r="H38" s="49">
        <v>1638.4960000000001</v>
      </c>
      <c r="I38" s="57">
        <f t="shared" si="6"/>
        <v>12.335285703530829</v>
      </c>
      <c r="J38" s="58">
        <f t="shared" si="4"/>
        <v>4.4283675675675678</v>
      </c>
      <c r="K38" s="124" t="s">
        <v>152</v>
      </c>
      <c r="L38" s="124" t="s">
        <v>152</v>
      </c>
    </row>
    <row r="39" spans="1:12" x14ac:dyDescent="0.2">
      <c r="A39" s="35" t="s">
        <v>229</v>
      </c>
      <c r="B39" s="54">
        <v>392</v>
      </c>
      <c r="C39" s="59">
        <f t="shared" si="0"/>
        <v>18</v>
      </c>
      <c r="D39" s="59">
        <v>374</v>
      </c>
      <c r="E39" s="55">
        <f t="shared" si="5"/>
        <v>4.591836734693878</v>
      </c>
      <c r="F39" s="55">
        <f t="shared" si="2"/>
        <v>32.700534759358291</v>
      </c>
      <c r="G39" s="56">
        <v>12230</v>
      </c>
      <c r="H39" s="49">
        <v>1432.635</v>
      </c>
      <c r="I39" s="57">
        <f t="shared" si="6"/>
        <v>11.714104660670483</v>
      </c>
      <c r="J39" s="58">
        <f t="shared" si="4"/>
        <v>3.8305748663101604</v>
      </c>
      <c r="K39" s="124" t="s">
        <v>152</v>
      </c>
      <c r="L39" s="124" t="s">
        <v>152</v>
      </c>
    </row>
    <row r="40" spans="1:12" x14ac:dyDescent="0.2">
      <c r="A40" s="35" t="s">
        <v>230</v>
      </c>
      <c r="B40" s="54">
        <v>397</v>
      </c>
      <c r="C40" s="59">
        <f t="shared" si="0"/>
        <v>17</v>
      </c>
      <c r="D40" s="59">
        <v>380</v>
      </c>
      <c r="E40" s="55">
        <f t="shared" si="5"/>
        <v>4.2821158690176322</v>
      </c>
      <c r="F40" s="55">
        <f t="shared" si="2"/>
        <v>37.5</v>
      </c>
      <c r="G40" s="56">
        <v>14250</v>
      </c>
      <c r="H40" s="49">
        <v>1827.77</v>
      </c>
      <c r="I40" s="57">
        <f t="shared" si="6"/>
        <v>12.826456140350878</v>
      </c>
      <c r="J40" s="58">
        <f t="shared" si="4"/>
        <v>4.8099210526315792</v>
      </c>
      <c r="K40" s="124" t="s">
        <v>152</v>
      </c>
      <c r="L40" s="124" t="s">
        <v>152</v>
      </c>
    </row>
    <row r="41" spans="1:12" x14ac:dyDescent="0.2">
      <c r="A41" s="35" t="s">
        <v>231</v>
      </c>
      <c r="B41" s="54">
        <v>413</v>
      </c>
      <c r="C41" s="59">
        <f t="shared" si="0"/>
        <v>17</v>
      </c>
      <c r="D41" s="59">
        <v>396</v>
      </c>
      <c r="E41" s="55">
        <f t="shared" si="5"/>
        <v>4.1162227602905572</v>
      </c>
      <c r="F41" s="55">
        <f t="shared" si="2"/>
        <v>36.601010101010104</v>
      </c>
      <c r="G41" s="56">
        <v>14494</v>
      </c>
      <c r="H41" s="49">
        <v>1866.93</v>
      </c>
      <c r="I41" s="57">
        <f t="shared" si="6"/>
        <v>12.880709259003725</v>
      </c>
      <c r="J41" s="58">
        <f t="shared" si="4"/>
        <v>4.7144696969696973</v>
      </c>
      <c r="K41" s="124" t="s">
        <v>152</v>
      </c>
      <c r="L41" s="124" t="s">
        <v>152</v>
      </c>
    </row>
    <row r="42" spans="1:12" x14ac:dyDescent="0.2">
      <c r="A42" s="33" t="s">
        <v>232</v>
      </c>
      <c r="B42" s="54">
        <v>416</v>
      </c>
      <c r="C42" s="59">
        <f t="shared" si="0"/>
        <v>16</v>
      </c>
      <c r="D42" s="59">
        <v>400</v>
      </c>
      <c r="E42" s="55">
        <f t="shared" si="5"/>
        <v>3.8461538461538463</v>
      </c>
      <c r="F42" s="55">
        <f t="shared" si="2"/>
        <v>34.299999999999997</v>
      </c>
      <c r="G42" s="56">
        <v>13720</v>
      </c>
      <c r="H42" s="49">
        <v>1762.789</v>
      </c>
      <c r="I42" s="57">
        <f t="shared" si="6"/>
        <v>12.848316326530613</v>
      </c>
      <c r="J42" s="58">
        <f t="shared" si="4"/>
        <v>4.4069725000000002</v>
      </c>
      <c r="K42" s="124" t="s">
        <v>152</v>
      </c>
      <c r="L42" s="124" t="s">
        <v>152</v>
      </c>
    </row>
    <row r="43" spans="1:12" x14ac:dyDescent="0.2">
      <c r="A43" s="60" t="s">
        <v>233</v>
      </c>
      <c r="B43" s="54">
        <v>408</v>
      </c>
      <c r="C43" s="59">
        <f t="shared" si="0"/>
        <v>16</v>
      </c>
      <c r="D43" s="59">
        <v>392</v>
      </c>
      <c r="E43" s="55">
        <f t="shared" si="5"/>
        <v>3.9215686274509802</v>
      </c>
      <c r="F43" s="55">
        <f t="shared" si="2"/>
        <v>38.400510204081634</v>
      </c>
      <c r="G43" s="56">
        <v>15053</v>
      </c>
      <c r="H43" s="49">
        <v>1981.2139999999999</v>
      </c>
      <c r="I43" s="57">
        <f t="shared" si="6"/>
        <v>13.161589052016209</v>
      </c>
      <c r="J43" s="58">
        <f t="shared" si="4"/>
        <v>5.0541173469387752</v>
      </c>
      <c r="K43" s="124" t="s">
        <v>152</v>
      </c>
      <c r="L43" s="124" t="s">
        <v>152</v>
      </c>
    </row>
    <row r="44" spans="1:12" x14ac:dyDescent="0.2">
      <c r="A44" s="60" t="s">
        <v>234</v>
      </c>
      <c r="B44" s="54">
        <v>413</v>
      </c>
      <c r="C44" s="59">
        <f t="shared" si="0"/>
        <v>15</v>
      </c>
      <c r="D44" s="59">
        <v>398</v>
      </c>
      <c r="E44" s="55">
        <f t="shared" si="5"/>
        <v>3.6319612590799029</v>
      </c>
      <c r="F44" s="55">
        <f t="shared" si="2"/>
        <v>42.5</v>
      </c>
      <c r="G44" s="56">
        <v>16915</v>
      </c>
      <c r="H44" s="49">
        <v>2172.9520000000002</v>
      </c>
      <c r="I44" s="57">
        <f t="shared" si="6"/>
        <v>12.846302098728939</v>
      </c>
      <c r="J44" s="58">
        <f t="shared" si="4"/>
        <v>5.4596783919598</v>
      </c>
      <c r="K44" s="124" t="s">
        <v>152</v>
      </c>
      <c r="L44" s="124" t="s">
        <v>152</v>
      </c>
    </row>
    <row r="45" spans="1:12" x14ac:dyDescent="0.2">
      <c r="A45" s="60" t="s">
        <v>235</v>
      </c>
      <c r="B45" s="54">
        <v>417</v>
      </c>
      <c r="C45" s="59">
        <f t="shared" si="0"/>
        <v>17</v>
      </c>
      <c r="D45" s="59">
        <v>400</v>
      </c>
      <c r="E45" s="55">
        <f t="shared" si="5"/>
        <v>4.0767386091127102</v>
      </c>
      <c r="F45" s="55">
        <f t="shared" si="2"/>
        <v>40.299999999999997</v>
      </c>
      <c r="G45" s="56">
        <v>16120</v>
      </c>
      <c r="H45" s="49">
        <v>2054.6669999999999</v>
      </c>
      <c r="I45" s="57">
        <f t="shared" si="6"/>
        <v>12.746073200992555</v>
      </c>
      <c r="J45" s="58">
        <f t="shared" si="4"/>
        <v>5.1366674999999997</v>
      </c>
      <c r="K45" s="124" t="s">
        <v>152</v>
      </c>
      <c r="L45" s="124" t="s">
        <v>152</v>
      </c>
    </row>
    <row r="46" spans="1:12" x14ac:dyDescent="0.2">
      <c r="A46" s="60" t="s">
        <v>236</v>
      </c>
      <c r="B46" s="54">
        <v>412.7</v>
      </c>
      <c r="C46" s="59">
        <f t="shared" si="0"/>
        <v>15.699999999999989</v>
      </c>
      <c r="D46" s="59">
        <v>397</v>
      </c>
      <c r="E46" s="55">
        <f t="shared" si="5"/>
        <v>3.8042161376302368</v>
      </c>
      <c r="F46" s="55">
        <f t="shared" si="2"/>
        <v>40.899244332493701</v>
      </c>
      <c r="G46" s="56">
        <v>16237</v>
      </c>
      <c r="H46" s="49">
        <v>1983.0550000000001</v>
      </c>
      <c r="I46" s="57">
        <f t="shared" si="6"/>
        <v>12.213185933362075</v>
      </c>
      <c r="J46" s="58">
        <f t="shared" si="4"/>
        <v>4.9951007556675062</v>
      </c>
      <c r="K46" s="124" t="s">
        <v>152</v>
      </c>
      <c r="L46" s="124" t="s">
        <v>152</v>
      </c>
    </row>
    <row r="47" spans="1:12" x14ac:dyDescent="0.2">
      <c r="A47" s="60" t="s">
        <v>237</v>
      </c>
      <c r="B47" s="54">
        <v>412.3</v>
      </c>
      <c r="C47" s="59">
        <f t="shared" si="0"/>
        <v>15.300000000000011</v>
      </c>
      <c r="D47" s="59">
        <v>397</v>
      </c>
      <c r="E47" s="55">
        <f t="shared" si="5"/>
        <v>3.7108901285471769</v>
      </c>
      <c r="F47" s="55">
        <f t="shared" si="2"/>
        <v>41.700251889168769</v>
      </c>
      <c r="G47" s="56">
        <v>16555</v>
      </c>
      <c r="H47" s="49">
        <v>2005.2370000000001</v>
      </c>
      <c r="I47" s="57">
        <f t="shared" si="6"/>
        <v>12.112576260948355</v>
      </c>
      <c r="J47" s="58">
        <f t="shared" si="4"/>
        <v>5.0509748110831234</v>
      </c>
      <c r="K47" s="124" t="s">
        <v>152</v>
      </c>
      <c r="L47" s="124" t="s">
        <v>152</v>
      </c>
    </row>
    <row r="48" spans="1:12" x14ac:dyDescent="0.2">
      <c r="A48" s="60" t="s">
        <v>238</v>
      </c>
      <c r="B48" s="54">
        <v>410.7</v>
      </c>
      <c r="C48" s="59">
        <f t="shared" si="0"/>
        <v>13.699999999999989</v>
      </c>
      <c r="D48" s="59">
        <v>397</v>
      </c>
      <c r="E48" s="55">
        <f>C48/B48*100</f>
        <v>3.3357682006330629</v>
      </c>
      <c r="F48" s="55">
        <f t="shared" si="2"/>
        <v>42.80100755667506</v>
      </c>
      <c r="G48" s="56">
        <v>16992</v>
      </c>
      <c r="H48" s="49">
        <v>2105.8519999999999</v>
      </c>
      <c r="I48" s="57">
        <f t="shared" si="6"/>
        <v>12.393196798493408</v>
      </c>
      <c r="J48" s="58">
        <f t="shared" si="4"/>
        <v>5.3044130982367754</v>
      </c>
      <c r="K48" s="124" t="s">
        <v>152</v>
      </c>
      <c r="L48" s="124" t="s">
        <v>152</v>
      </c>
    </row>
    <row r="49" spans="1:12" x14ac:dyDescent="0.2">
      <c r="A49" s="60" t="s">
        <v>239</v>
      </c>
      <c r="B49" s="54">
        <v>423.3</v>
      </c>
      <c r="C49" s="59">
        <f t="shared" si="0"/>
        <v>14.300000000000011</v>
      </c>
      <c r="D49" s="59">
        <v>409</v>
      </c>
      <c r="E49" s="55">
        <f>C49/B49*100</f>
        <v>3.3782187573824736</v>
      </c>
      <c r="F49" s="55">
        <f t="shared" si="2"/>
        <v>44.300733496332519</v>
      </c>
      <c r="G49" s="56">
        <v>18119</v>
      </c>
      <c r="H49" s="49">
        <v>2090</v>
      </c>
      <c r="I49" s="57">
        <f>H49/G49*100</f>
        <v>11.53485291682764</v>
      </c>
      <c r="J49" s="58">
        <f t="shared" si="4"/>
        <v>5.1100244498777503</v>
      </c>
      <c r="K49" s="124" t="s">
        <v>152</v>
      </c>
      <c r="L49" s="124" t="s">
        <v>152</v>
      </c>
    </row>
    <row r="50" spans="1:12" x14ac:dyDescent="0.2">
      <c r="A50" s="60" t="s">
        <v>350</v>
      </c>
      <c r="B50" s="54">
        <v>403.5</v>
      </c>
      <c r="C50" s="59">
        <f t="shared" si="0"/>
        <v>15.5</v>
      </c>
      <c r="D50" s="59">
        <v>388</v>
      </c>
      <c r="E50" s="55">
        <f t="shared" ref="E50" si="7">C50/B50*100</f>
        <v>3.8413878562577448</v>
      </c>
      <c r="F50" s="55">
        <f t="shared" si="2"/>
        <v>42.399484536082475</v>
      </c>
      <c r="G50" s="56">
        <v>16451</v>
      </c>
      <c r="H50" s="49">
        <v>1934.4090000000001</v>
      </c>
      <c r="I50" s="57">
        <f>H50/G50*100</f>
        <v>11.758610418819524</v>
      </c>
      <c r="J50" s="58">
        <f t="shared" si="4"/>
        <v>4.9855902061855675</v>
      </c>
      <c r="K50" s="124" t="s">
        <v>152</v>
      </c>
      <c r="L50" s="124" t="s">
        <v>152</v>
      </c>
    </row>
    <row r="51" spans="1:12" x14ac:dyDescent="0.2">
      <c r="A51" s="60" t="s">
        <v>381</v>
      </c>
      <c r="B51" s="54">
        <v>401.9</v>
      </c>
      <c r="C51" s="59">
        <f t="shared" si="0"/>
        <v>15.899999999999977</v>
      </c>
      <c r="D51" s="59">
        <v>386</v>
      </c>
      <c r="E51" s="55">
        <f>C51/B51*100</f>
        <v>3.9562080119432643</v>
      </c>
      <c r="F51" s="55">
        <f t="shared" si="2"/>
        <v>44.5</v>
      </c>
      <c r="G51" s="56">
        <v>17177</v>
      </c>
      <c r="H51" s="49">
        <v>1985.25</v>
      </c>
      <c r="I51" s="57">
        <f>H51/G51*100</f>
        <v>11.557606101181813</v>
      </c>
      <c r="J51" s="58">
        <f t="shared" si="4"/>
        <v>5.1431347150259068</v>
      </c>
      <c r="K51" s="124" t="s">
        <v>152</v>
      </c>
      <c r="L51" s="124" t="s">
        <v>152</v>
      </c>
    </row>
    <row r="52" spans="1:12" x14ac:dyDescent="0.2">
      <c r="A52" s="60" t="s">
        <v>378</v>
      </c>
      <c r="B52" s="54">
        <v>407.6</v>
      </c>
      <c r="C52" s="59">
        <f t="shared" si="0"/>
        <v>16.600000000000023</v>
      </c>
      <c r="D52" s="59">
        <v>391</v>
      </c>
      <c r="E52" s="55">
        <f>C52/B52*100</f>
        <v>4.0726202158979445</v>
      </c>
      <c r="F52" s="55">
        <f t="shared" si="2"/>
        <v>44.398976982097189</v>
      </c>
      <c r="G52" s="56">
        <v>17360</v>
      </c>
      <c r="H52" s="49">
        <v>2077.0520000000001</v>
      </c>
      <c r="I52" s="57">
        <f>H52/G52*100</f>
        <v>11.964585253456223</v>
      </c>
      <c r="J52" s="58">
        <f t="shared" ref="J52" si="8">H52/D52</f>
        <v>5.3121534526854219</v>
      </c>
      <c r="K52" s="124" t="s">
        <v>152</v>
      </c>
      <c r="L52" s="124" t="s">
        <v>152</v>
      </c>
    </row>
    <row r="53" spans="1:12" x14ac:dyDescent="0.2">
      <c r="A53" s="60" t="s">
        <v>380</v>
      </c>
      <c r="B53" s="54">
        <v>408.2</v>
      </c>
      <c r="C53" s="59">
        <f t="shared" si="0"/>
        <v>16.199999999999989</v>
      </c>
      <c r="D53" s="59">
        <v>392</v>
      </c>
      <c r="E53" s="55">
        <f>C53/B53*100</f>
        <v>3.9686428221460042</v>
      </c>
      <c r="F53" s="55">
        <v>45.2</v>
      </c>
      <c r="G53" s="56">
        <f>D53*F53</f>
        <v>17718.400000000001</v>
      </c>
      <c r="H53" s="49">
        <v>2052.549</v>
      </c>
      <c r="I53" s="57">
        <f>H53/G53*100</f>
        <v>11.584279618927216</v>
      </c>
      <c r="J53" s="58">
        <f t="shared" ref="J53" si="9">H53/D53</f>
        <v>5.2360943877551023</v>
      </c>
      <c r="K53" s="124" t="s">
        <v>152</v>
      </c>
      <c r="L53" s="124" t="s">
        <v>152</v>
      </c>
    </row>
    <row r="54" spans="1:12" x14ac:dyDescent="0.2">
      <c r="A54" s="60"/>
      <c r="B54" s="54"/>
      <c r="C54" s="59"/>
      <c r="D54" s="59"/>
      <c r="E54" s="55"/>
      <c r="F54" s="55"/>
      <c r="G54" s="56"/>
      <c r="H54" s="49"/>
      <c r="I54" s="57"/>
      <c r="J54" s="58"/>
    </row>
    <row r="55" spans="1:12" x14ac:dyDescent="0.2">
      <c r="A55" s="21" t="s">
        <v>375</v>
      </c>
      <c r="B55" s="54"/>
      <c r="C55" s="54"/>
      <c r="D55" s="54"/>
      <c r="E55" s="55"/>
      <c r="F55" s="55"/>
      <c r="G55" s="56"/>
      <c r="H55" s="49"/>
      <c r="I55" s="57"/>
      <c r="J55" s="58"/>
    </row>
    <row r="56" spans="1:12" x14ac:dyDescent="0.2">
      <c r="A56" s="33">
        <v>1980</v>
      </c>
      <c r="B56" s="54">
        <v>104.5</v>
      </c>
      <c r="C56" s="54">
        <f t="shared" ref="C56:C69" si="10">B56-D56</f>
        <v>7.0999999999999943</v>
      </c>
      <c r="D56" s="54">
        <v>97.4</v>
      </c>
      <c r="E56" s="55">
        <f t="shared" ref="E56:E92" si="11">C56/B56*100</f>
        <v>6.7942583732057358</v>
      </c>
      <c r="F56" s="55">
        <f t="shared" ref="F56:F92" si="12">G56/D56</f>
        <v>94.599589322381931</v>
      </c>
      <c r="G56" s="56">
        <v>9214</v>
      </c>
      <c r="H56" s="49">
        <v>1023</v>
      </c>
      <c r="I56" s="57">
        <f t="shared" ref="I56:I92" si="13">H56/G56*100</f>
        <v>11.102669850227914</v>
      </c>
      <c r="J56" s="58">
        <f t="shared" ref="J56:J92" si="14">H56/D56</f>
        <v>10.503080082135522</v>
      </c>
      <c r="K56" s="124" t="s">
        <v>152</v>
      </c>
      <c r="L56" s="124" t="s">
        <v>152</v>
      </c>
    </row>
    <row r="57" spans="1:12" x14ac:dyDescent="0.2">
      <c r="A57" s="33">
        <v>1981</v>
      </c>
      <c r="B57" s="54">
        <v>104.8</v>
      </c>
      <c r="C57" s="54">
        <f t="shared" si="10"/>
        <v>7.2000000000000028</v>
      </c>
      <c r="D57" s="54">
        <v>97.6</v>
      </c>
      <c r="E57" s="55">
        <f t="shared" si="11"/>
        <v>6.8702290076335908</v>
      </c>
      <c r="F57" s="55">
        <f t="shared" si="12"/>
        <v>90.481557377049185</v>
      </c>
      <c r="G57" s="56">
        <v>8831</v>
      </c>
      <c r="H57" s="49">
        <v>1048</v>
      </c>
      <c r="I57" s="57">
        <f t="shared" si="13"/>
        <v>11.867285698108935</v>
      </c>
      <c r="J57" s="58">
        <f t="shared" si="14"/>
        <v>10.737704918032788</v>
      </c>
      <c r="K57" s="124" t="s">
        <v>152</v>
      </c>
      <c r="L57" s="124" t="s">
        <v>152</v>
      </c>
    </row>
    <row r="58" spans="1:12" x14ac:dyDescent="0.2">
      <c r="A58" s="33">
        <v>1982</v>
      </c>
      <c r="B58" s="54">
        <v>94.7</v>
      </c>
      <c r="C58" s="54">
        <f t="shared" si="10"/>
        <v>5.4000000000000057</v>
      </c>
      <c r="D58" s="54">
        <v>89.3</v>
      </c>
      <c r="E58" s="55">
        <f t="shared" si="11"/>
        <v>5.7022175290390766</v>
      </c>
      <c r="F58" s="55">
        <f t="shared" si="12"/>
        <v>98.633818589025765</v>
      </c>
      <c r="G58" s="56">
        <v>8808</v>
      </c>
      <c r="H58" s="49">
        <v>983</v>
      </c>
      <c r="I58" s="57">
        <f t="shared" si="13"/>
        <v>11.16030881017257</v>
      </c>
      <c r="J58" s="58">
        <f t="shared" si="14"/>
        <v>11.007838745800672</v>
      </c>
      <c r="K58" s="124" t="s">
        <v>152</v>
      </c>
      <c r="L58" s="124" t="s">
        <v>152</v>
      </c>
    </row>
    <row r="59" spans="1:12" x14ac:dyDescent="0.2">
      <c r="A59" s="33">
        <v>1983</v>
      </c>
      <c r="B59" s="54">
        <v>99.3</v>
      </c>
      <c r="C59" s="54">
        <f t="shared" si="10"/>
        <v>6.5</v>
      </c>
      <c r="D59" s="54">
        <v>92.8</v>
      </c>
      <c r="E59" s="55">
        <f t="shared" si="11"/>
        <v>6.545820745216516</v>
      </c>
      <c r="F59" s="55">
        <f t="shared" si="12"/>
        <v>96.185344827586206</v>
      </c>
      <c r="G59" s="56">
        <v>8926</v>
      </c>
      <c r="H59" s="49">
        <v>1044</v>
      </c>
      <c r="I59" s="57">
        <f t="shared" si="13"/>
        <v>11.696168496526999</v>
      </c>
      <c r="J59" s="58">
        <f t="shared" si="14"/>
        <v>11.25</v>
      </c>
      <c r="K59" s="124" t="s">
        <v>152</v>
      </c>
      <c r="L59" s="124" t="s">
        <v>152</v>
      </c>
    </row>
    <row r="60" spans="1:12" x14ac:dyDescent="0.2">
      <c r="A60" s="33">
        <v>1984</v>
      </c>
      <c r="B60" s="54">
        <v>95.2</v>
      </c>
      <c r="C60" s="54">
        <f t="shared" si="10"/>
        <v>5.7000000000000028</v>
      </c>
      <c r="D60" s="54">
        <v>89.5</v>
      </c>
      <c r="E60" s="55">
        <f t="shared" si="11"/>
        <v>5.987394957983196</v>
      </c>
      <c r="F60" s="55">
        <f t="shared" si="12"/>
        <v>94.458100558659211</v>
      </c>
      <c r="G60" s="56">
        <v>8454</v>
      </c>
      <c r="H60" s="49">
        <v>1062</v>
      </c>
      <c r="I60" s="57">
        <f t="shared" si="13"/>
        <v>12.562100780695529</v>
      </c>
      <c r="J60" s="58">
        <f t="shared" si="14"/>
        <v>11.865921787709498</v>
      </c>
      <c r="K60" s="124" t="s">
        <v>152</v>
      </c>
      <c r="L60" s="124" t="s">
        <v>152</v>
      </c>
    </row>
    <row r="61" spans="1:12" x14ac:dyDescent="0.2">
      <c r="A61" s="33">
        <v>1985</v>
      </c>
      <c r="B61" s="54">
        <v>89.4</v>
      </c>
      <c r="C61" s="54">
        <f t="shared" si="10"/>
        <v>6.4000000000000057</v>
      </c>
      <c r="D61" s="54">
        <v>83</v>
      </c>
      <c r="E61" s="55">
        <f t="shared" si="11"/>
        <v>7.1588366890380364</v>
      </c>
      <c r="F61" s="55">
        <f t="shared" si="12"/>
        <v>95.373493975903614</v>
      </c>
      <c r="G61" s="56">
        <v>7916</v>
      </c>
      <c r="H61" s="49">
        <v>1012</v>
      </c>
      <c r="I61" s="57">
        <f t="shared" si="13"/>
        <v>12.784234461849419</v>
      </c>
      <c r="J61" s="58">
        <f t="shared" si="14"/>
        <v>12.19277108433735</v>
      </c>
      <c r="K61" s="124" t="s">
        <v>152</v>
      </c>
      <c r="L61" s="124" t="s">
        <v>152</v>
      </c>
    </row>
    <row r="62" spans="1:12" x14ac:dyDescent="0.2">
      <c r="A62" s="33">
        <v>1986</v>
      </c>
      <c r="B62" s="54">
        <v>90.2</v>
      </c>
      <c r="C62" s="54">
        <f t="shared" si="10"/>
        <v>6.6000000000000085</v>
      </c>
      <c r="D62" s="54">
        <v>83.6</v>
      </c>
      <c r="E62" s="55">
        <f t="shared" si="11"/>
        <v>7.3170731707317165</v>
      </c>
      <c r="F62" s="55">
        <f t="shared" si="12"/>
        <v>100.22727272727273</v>
      </c>
      <c r="G62" s="56">
        <v>8379</v>
      </c>
      <c r="H62" s="49">
        <v>1043</v>
      </c>
      <c r="I62" s="57">
        <f t="shared" si="13"/>
        <v>12.447786131996658</v>
      </c>
      <c r="J62" s="58">
        <f t="shared" si="14"/>
        <v>12.476076555023925</v>
      </c>
      <c r="K62" s="124" t="s">
        <v>152</v>
      </c>
      <c r="L62" s="124" t="s">
        <v>152</v>
      </c>
    </row>
    <row r="63" spans="1:12" x14ac:dyDescent="0.2">
      <c r="A63" s="33">
        <v>1987</v>
      </c>
      <c r="B63" s="54">
        <v>86.5</v>
      </c>
      <c r="C63" s="54">
        <f t="shared" si="10"/>
        <v>7</v>
      </c>
      <c r="D63" s="54">
        <v>79.5</v>
      </c>
      <c r="E63" s="55">
        <f t="shared" si="11"/>
        <v>8.0924855491329488</v>
      </c>
      <c r="F63" s="55">
        <f t="shared" si="12"/>
        <v>100.80503144654088</v>
      </c>
      <c r="G63" s="56">
        <v>8014</v>
      </c>
      <c r="H63" s="49">
        <v>929</v>
      </c>
      <c r="I63" s="57">
        <f t="shared" si="13"/>
        <v>11.59221362615423</v>
      </c>
      <c r="J63" s="58">
        <f t="shared" si="14"/>
        <v>11.685534591194969</v>
      </c>
      <c r="K63" s="124" t="s">
        <v>152</v>
      </c>
      <c r="L63" s="124" t="s">
        <v>152</v>
      </c>
    </row>
    <row r="64" spans="1:12" x14ac:dyDescent="0.2">
      <c r="A64" s="33">
        <v>1988</v>
      </c>
      <c r="B64" s="54">
        <v>86.1</v>
      </c>
      <c r="C64" s="54">
        <f t="shared" si="10"/>
        <v>7.1999999999999886</v>
      </c>
      <c r="D64" s="54">
        <v>78.900000000000006</v>
      </c>
      <c r="E64" s="55">
        <f t="shared" si="11"/>
        <v>8.3623693379790804</v>
      </c>
      <c r="F64" s="55">
        <f t="shared" si="12"/>
        <v>96.400506970849165</v>
      </c>
      <c r="G64" s="56">
        <v>7606</v>
      </c>
      <c r="H64" s="49">
        <v>928</v>
      </c>
      <c r="I64" s="57">
        <f t="shared" si="13"/>
        <v>12.200894031028135</v>
      </c>
      <c r="J64" s="58">
        <f t="shared" si="14"/>
        <v>11.761723700887199</v>
      </c>
      <c r="K64" s="124" t="s">
        <v>152</v>
      </c>
      <c r="L64" s="124" t="s">
        <v>152</v>
      </c>
    </row>
    <row r="65" spans="1:12" x14ac:dyDescent="0.2">
      <c r="A65" s="33">
        <v>1989</v>
      </c>
      <c r="B65" s="54">
        <v>81.400000000000006</v>
      </c>
      <c r="C65" s="54">
        <f t="shared" si="10"/>
        <v>6.7000000000000028</v>
      </c>
      <c r="D65" s="54">
        <v>74.7</v>
      </c>
      <c r="E65" s="55">
        <f t="shared" si="11"/>
        <v>8.2309582309582332</v>
      </c>
      <c r="F65" s="55">
        <f t="shared" si="12"/>
        <v>94.805890227576967</v>
      </c>
      <c r="G65" s="56">
        <v>7082</v>
      </c>
      <c r="H65" s="49">
        <v>865</v>
      </c>
      <c r="I65" s="57">
        <f t="shared" si="13"/>
        <v>12.214063823778593</v>
      </c>
      <c r="J65" s="58">
        <f t="shared" si="14"/>
        <v>11.579651941097724</v>
      </c>
      <c r="K65" s="124" t="s">
        <v>152</v>
      </c>
      <c r="L65" s="124" t="s">
        <v>152</v>
      </c>
    </row>
    <row r="66" spans="1:12" x14ac:dyDescent="0.2">
      <c r="A66" s="33">
        <v>1990</v>
      </c>
      <c r="B66" s="54">
        <v>79</v>
      </c>
      <c r="C66" s="54">
        <f t="shared" si="10"/>
        <v>7</v>
      </c>
      <c r="D66" s="54">
        <v>72</v>
      </c>
      <c r="E66" s="55">
        <f t="shared" si="11"/>
        <v>8.8607594936708853</v>
      </c>
      <c r="F66" s="55">
        <f t="shared" si="12"/>
        <v>90.805555555555557</v>
      </c>
      <c r="G66" s="56">
        <v>6538</v>
      </c>
      <c r="H66" s="49">
        <v>821</v>
      </c>
      <c r="I66" s="57">
        <f t="shared" si="13"/>
        <v>12.55735698990517</v>
      </c>
      <c r="J66" s="58">
        <f t="shared" si="14"/>
        <v>11.402777777777779</v>
      </c>
      <c r="K66" s="124" t="s">
        <v>152</v>
      </c>
      <c r="L66" s="124" t="s">
        <v>152</v>
      </c>
    </row>
    <row r="67" spans="1:12" x14ac:dyDescent="0.2">
      <c r="A67" s="33">
        <v>1991</v>
      </c>
      <c r="B67" s="54">
        <v>74</v>
      </c>
      <c r="C67" s="54">
        <f t="shared" si="10"/>
        <v>6.5999999999999943</v>
      </c>
      <c r="D67" s="54">
        <v>67.400000000000006</v>
      </c>
      <c r="E67" s="55">
        <f t="shared" si="11"/>
        <v>8.9189189189189104</v>
      </c>
      <c r="F67" s="55">
        <f t="shared" si="12"/>
        <v>86.899109792284861</v>
      </c>
      <c r="G67" s="56">
        <v>5857</v>
      </c>
      <c r="H67" s="49">
        <v>724</v>
      </c>
      <c r="I67" s="57">
        <f t="shared" si="13"/>
        <v>12.361277104319617</v>
      </c>
      <c r="J67" s="58">
        <f t="shared" si="14"/>
        <v>10.741839762611274</v>
      </c>
      <c r="K67" s="124" t="s">
        <v>152</v>
      </c>
      <c r="L67" s="124" t="s">
        <v>152</v>
      </c>
    </row>
    <row r="68" spans="1:12" x14ac:dyDescent="0.2">
      <c r="A68" s="33">
        <v>1992</v>
      </c>
      <c r="B68" s="54">
        <v>67.900000000000006</v>
      </c>
      <c r="C68" s="54">
        <f t="shared" si="10"/>
        <v>6.2000000000000028</v>
      </c>
      <c r="D68" s="54">
        <v>61.7</v>
      </c>
      <c r="E68" s="55">
        <f t="shared" si="11"/>
        <v>9.1310751104565568</v>
      </c>
      <c r="F68" s="55">
        <f t="shared" si="12"/>
        <v>88.006482982171789</v>
      </c>
      <c r="G68" s="56">
        <v>5430</v>
      </c>
      <c r="H68" s="49">
        <v>648.79999999999995</v>
      </c>
      <c r="I68" s="57">
        <f t="shared" si="13"/>
        <v>11.94843462246777</v>
      </c>
      <c r="J68" s="58">
        <f t="shared" si="14"/>
        <v>10.515397082658021</v>
      </c>
      <c r="K68" s="124" t="s">
        <v>152</v>
      </c>
      <c r="L68" s="124" t="s">
        <v>152</v>
      </c>
    </row>
    <row r="69" spans="1:12" x14ac:dyDescent="0.2">
      <c r="A69" s="33">
        <v>1993</v>
      </c>
      <c r="B69" s="54">
        <v>69.900000000000006</v>
      </c>
      <c r="C69" s="54">
        <f t="shared" si="10"/>
        <v>5.1000000000000085</v>
      </c>
      <c r="D69" s="54">
        <v>64.8</v>
      </c>
      <c r="E69" s="55">
        <f t="shared" si="11"/>
        <v>7.2961373390558055</v>
      </c>
      <c r="F69" s="55">
        <f t="shared" si="12"/>
        <v>85</v>
      </c>
      <c r="G69" s="56">
        <v>5508</v>
      </c>
      <c r="H69" s="49">
        <v>676.8</v>
      </c>
      <c r="I69" s="57">
        <f t="shared" si="13"/>
        <v>12.287581699346404</v>
      </c>
      <c r="J69" s="58">
        <f t="shared" si="14"/>
        <v>10.444444444444445</v>
      </c>
      <c r="K69" s="124" t="s">
        <v>152</v>
      </c>
      <c r="L69" s="124" t="s">
        <v>152</v>
      </c>
    </row>
    <row r="70" spans="1:12" x14ac:dyDescent="0.2">
      <c r="A70" s="33">
        <v>1994</v>
      </c>
      <c r="B70" s="54">
        <v>69.3</v>
      </c>
      <c r="C70" s="54">
        <v>5</v>
      </c>
      <c r="D70" s="54">
        <v>64.3</v>
      </c>
      <c r="E70" s="55">
        <f t="shared" si="11"/>
        <v>7.2150072150072155</v>
      </c>
      <c r="F70" s="55">
        <f t="shared" si="12"/>
        <v>81.897356143079321</v>
      </c>
      <c r="G70" s="56">
        <v>5266</v>
      </c>
      <c r="H70" s="49">
        <v>656.7</v>
      </c>
      <c r="I70" s="57">
        <f t="shared" si="13"/>
        <v>12.470565894417016</v>
      </c>
      <c r="J70" s="58">
        <f t="shared" si="14"/>
        <v>10.213063763608089</v>
      </c>
      <c r="K70" s="124" t="s">
        <v>152</v>
      </c>
      <c r="L70" s="124" t="s">
        <v>152</v>
      </c>
    </row>
    <row r="71" spans="1:12" x14ac:dyDescent="0.2">
      <c r="A71" s="33">
        <v>1995</v>
      </c>
      <c r="B71" s="54">
        <v>53</v>
      </c>
      <c r="C71" s="54">
        <f>B71-D71</f>
        <v>4.5</v>
      </c>
      <c r="D71" s="54">
        <v>48.5</v>
      </c>
      <c r="E71" s="55">
        <f t="shared" si="11"/>
        <v>8.4905660377358494</v>
      </c>
      <c r="F71" s="55">
        <f t="shared" si="12"/>
        <v>81.505154639175259</v>
      </c>
      <c r="G71" s="56">
        <v>3953</v>
      </c>
      <c r="H71" s="49">
        <v>490.83300000000014</v>
      </c>
      <c r="I71" s="57">
        <f t="shared" si="13"/>
        <v>12.416721477358973</v>
      </c>
      <c r="J71" s="58">
        <f t="shared" si="14"/>
        <v>10.120268041237116</v>
      </c>
      <c r="K71" s="124" t="s">
        <v>152</v>
      </c>
      <c r="L71" s="124" t="s">
        <v>152</v>
      </c>
    </row>
    <row r="72" spans="1:12" x14ac:dyDescent="0.2">
      <c r="A72" s="33">
        <v>1996</v>
      </c>
      <c r="B72" s="54">
        <v>46</v>
      </c>
      <c r="C72" s="54">
        <f>B72-D72</f>
        <v>3.1000000000000014</v>
      </c>
      <c r="D72" s="54">
        <v>42.9</v>
      </c>
      <c r="E72" s="55">
        <f t="shared" si="11"/>
        <v>6.7391304347826111</v>
      </c>
      <c r="F72" s="55">
        <f t="shared" si="12"/>
        <v>82.610722610722618</v>
      </c>
      <c r="G72" s="56">
        <v>3544</v>
      </c>
      <c r="H72" s="49">
        <v>431.57099999999997</v>
      </c>
      <c r="I72" s="57">
        <f t="shared" si="13"/>
        <v>12.177511286681716</v>
      </c>
      <c r="J72" s="58">
        <f t="shared" si="14"/>
        <v>10.05993006993007</v>
      </c>
      <c r="K72" s="124" t="s">
        <v>152</v>
      </c>
      <c r="L72" s="124" t="s">
        <v>152</v>
      </c>
    </row>
    <row r="73" spans="1:12" x14ac:dyDescent="0.2">
      <c r="A73" s="33">
        <v>1997</v>
      </c>
      <c r="B73" s="54">
        <v>34.200000000000003</v>
      </c>
      <c r="C73" s="54">
        <v>2.2000000000000002</v>
      </c>
      <c r="D73" s="54">
        <v>32</v>
      </c>
      <c r="E73" s="55">
        <f t="shared" si="11"/>
        <v>6.4327485380116958</v>
      </c>
      <c r="F73" s="55">
        <f t="shared" si="12"/>
        <v>91.40625</v>
      </c>
      <c r="G73" s="56">
        <v>2925</v>
      </c>
      <c r="H73" s="49">
        <v>362.9</v>
      </c>
      <c r="I73" s="57">
        <f t="shared" si="13"/>
        <v>12.406837606837605</v>
      </c>
      <c r="J73" s="58">
        <f t="shared" si="14"/>
        <v>11.340624999999999</v>
      </c>
      <c r="K73" s="124" t="s">
        <v>152</v>
      </c>
      <c r="L73" s="124" t="s">
        <v>152</v>
      </c>
    </row>
    <row r="74" spans="1:12" x14ac:dyDescent="0.2">
      <c r="A74" s="33">
        <v>1998</v>
      </c>
      <c r="B74" s="54">
        <v>32.5</v>
      </c>
      <c r="C74" s="54">
        <v>2.2000000000000002</v>
      </c>
      <c r="D74" s="54">
        <v>30.3</v>
      </c>
      <c r="E74" s="55">
        <f t="shared" si="11"/>
        <v>6.7692307692307701</v>
      </c>
      <c r="F74" s="55">
        <f t="shared" si="12"/>
        <v>90</v>
      </c>
      <c r="G74" s="56">
        <v>2727</v>
      </c>
      <c r="H74" s="49">
        <v>353.89300000000003</v>
      </c>
      <c r="I74" s="57">
        <f t="shared" si="13"/>
        <v>12.977374404107078</v>
      </c>
      <c r="J74" s="58">
        <f t="shared" si="14"/>
        <v>11.679636963696371</v>
      </c>
      <c r="K74" s="124" t="s">
        <v>152</v>
      </c>
      <c r="L74" s="124" t="s">
        <v>152</v>
      </c>
    </row>
    <row r="75" spans="1:12" x14ac:dyDescent="0.2">
      <c r="A75" s="33">
        <v>1999</v>
      </c>
      <c r="B75" s="54">
        <v>37.299999999999997</v>
      </c>
      <c r="C75" s="54">
        <v>1.9</v>
      </c>
      <c r="D75" s="54">
        <v>35.4</v>
      </c>
      <c r="E75" s="55">
        <f t="shared" si="11"/>
        <v>5.0938337801608577</v>
      </c>
      <c r="F75" s="55">
        <f t="shared" si="12"/>
        <v>81.694915254237287</v>
      </c>
      <c r="G75" s="56">
        <v>2892</v>
      </c>
      <c r="H75" s="49">
        <v>367.541</v>
      </c>
      <c r="I75" s="57">
        <f t="shared" si="13"/>
        <v>12.708886583679115</v>
      </c>
      <c r="J75" s="58">
        <f t="shared" si="14"/>
        <v>10.382514124293786</v>
      </c>
      <c r="K75" s="124" t="s">
        <v>152</v>
      </c>
      <c r="L75" s="124" t="s">
        <v>152</v>
      </c>
    </row>
    <row r="76" spans="1:12" x14ac:dyDescent="0.2">
      <c r="A76" s="33">
        <v>2000</v>
      </c>
      <c r="B76" s="54">
        <v>32</v>
      </c>
      <c r="C76" s="54">
        <v>1.8</v>
      </c>
      <c r="D76" s="54">
        <v>30.2</v>
      </c>
      <c r="E76" s="55">
        <f t="shared" si="11"/>
        <v>5.625</v>
      </c>
      <c r="F76" s="55">
        <f t="shared" si="12"/>
        <v>78.311258278145701</v>
      </c>
      <c r="G76" s="56">
        <v>2365</v>
      </c>
      <c r="H76" s="49">
        <v>301.16500000000002</v>
      </c>
      <c r="I76" s="57">
        <f t="shared" si="13"/>
        <v>12.734249471458774</v>
      </c>
      <c r="J76" s="58">
        <f t="shared" si="14"/>
        <v>9.9723509933774839</v>
      </c>
      <c r="K76" s="124" t="s">
        <v>152</v>
      </c>
      <c r="L76" s="124" t="s">
        <v>152</v>
      </c>
    </row>
    <row r="77" spans="1:12" x14ac:dyDescent="0.2">
      <c r="A77" s="33">
        <v>2001</v>
      </c>
      <c r="B77" s="54">
        <v>20.8</v>
      </c>
      <c r="C77" s="54">
        <f t="shared" ref="C77:C93" si="15">B77-D77</f>
        <v>1.5</v>
      </c>
      <c r="D77" s="54">
        <v>19.3</v>
      </c>
      <c r="E77" s="55">
        <f t="shared" si="11"/>
        <v>7.2115384615384608</v>
      </c>
      <c r="F77" s="55">
        <f t="shared" si="12"/>
        <v>97.305699481865275</v>
      </c>
      <c r="G77" s="56">
        <v>1878</v>
      </c>
      <c r="H77" s="49">
        <v>246.20400000000001</v>
      </c>
      <c r="I77" s="57">
        <f t="shared" si="13"/>
        <v>13.109904153354632</v>
      </c>
      <c r="J77" s="58">
        <f t="shared" si="14"/>
        <v>12.756683937823833</v>
      </c>
      <c r="K77" s="124" t="s">
        <v>152</v>
      </c>
      <c r="L77" s="124" t="s">
        <v>152</v>
      </c>
    </row>
    <row r="78" spans="1:12" x14ac:dyDescent="0.2">
      <c r="A78" s="33">
        <v>2002</v>
      </c>
      <c r="B78" s="54">
        <v>22.7</v>
      </c>
      <c r="C78" s="54">
        <f t="shared" si="15"/>
        <v>1.3999999999999986</v>
      </c>
      <c r="D78" s="54">
        <v>21.3</v>
      </c>
      <c r="E78" s="55">
        <f t="shared" si="11"/>
        <v>6.1674008810572625</v>
      </c>
      <c r="F78" s="55">
        <f t="shared" si="12"/>
        <v>99.014084507042256</v>
      </c>
      <c r="G78" s="56">
        <v>2109</v>
      </c>
      <c r="H78" s="49">
        <v>269.64400000000001</v>
      </c>
      <c r="I78" s="57">
        <f t="shared" si="13"/>
        <v>12.785395922238028</v>
      </c>
      <c r="J78" s="58">
        <f t="shared" si="14"/>
        <v>12.659342723004695</v>
      </c>
      <c r="K78" s="124" t="s">
        <v>152</v>
      </c>
      <c r="L78" s="124" t="s">
        <v>152</v>
      </c>
    </row>
    <row r="79" spans="1:12" x14ac:dyDescent="0.2">
      <c r="A79" s="33">
        <v>2003</v>
      </c>
      <c r="B79" s="54">
        <v>21.3</v>
      </c>
      <c r="C79" s="54">
        <f t="shared" si="15"/>
        <v>1.4000000000000021</v>
      </c>
      <c r="D79" s="54">
        <v>19.899999999999999</v>
      </c>
      <c r="E79" s="55">
        <f t="shared" si="11"/>
        <v>6.5727699530516537</v>
      </c>
      <c r="F79" s="55">
        <f t="shared" si="12"/>
        <v>102.01005025125629</v>
      </c>
      <c r="G79" s="56">
        <v>2030</v>
      </c>
      <c r="H79" s="49">
        <v>261.00799999999998</v>
      </c>
      <c r="I79" s="57">
        <f t="shared" si="13"/>
        <v>12.857536945812805</v>
      </c>
      <c r="J79" s="58">
        <f t="shared" si="14"/>
        <v>13.115979899497487</v>
      </c>
      <c r="K79" s="124" t="s">
        <v>152</v>
      </c>
      <c r="L79" s="124" t="s">
        <v>152</v>
      </c>
    </row>
    <row r="80" spans="1:12" x14ac:dyDescent="0.2">
      <c r="A80" s="33">
        <v>2004</v>
      </c>
      <c r="B80" s="54">
        <v>23.2</v>
      </c>
      <c r="C80" s="54">
        <f t="shared" si="15"/>
        <v>1.3999999999999986</v>
      </c>
      <c r="D80" s="54">
        <v>21.8</v>
      </c>
      <c r="E80" s="55">
        <f t="shared" si="11"/>
        <v>6.0344827586206833</v>
      </c>
      <c r="F80" s="55">
        <f t="shared" si="12"/>
        <v>90.77981651376146</v>
      </c>
      <c r="G80" s="56">
        <v>1979</v>
      </c>
      <c r="H80" s="49">
        <v>257.90800000000002</v>
      </c>
      <c r="I80" s="57">
        <f t="shared" si="13"/>
        <v>13.032238504295099</v>
      </c>
      <c r="J80" s="58">
        <f t="shared" si="14"/>
        <v>11.830642201834863</v>
      </c>
      <c r="K80" s="124" t="s">
        <v>152</v>
      </c>
      <c r="L80" s="124" t="s">
        <v>152</v>
      </c>
    </row>
    <row r="81" spans="1:12" x14ac:dyDescent="0.2">
      <c r="A81" s="33">
        <v>2005</v>
      </c>
      <c r="B81" s="54">
        <v>23.5</v>
      </c>
      <c r="C81" s="54">
        <f t="shared" si="15"/>
        <v>1.8000000000000007</v>
      </c>
      <c r="D81" s="54">
        <v>21.7</v>
      </c>
      <c r="E81" s="55">
        <f t="shared" si="11"/>
        <v>7.6595744680851094</v>
      </c>
      <c r="F81" s="55">
        <f t="shared" si="12"/>
        <v>80.783410138248854</v>
      </c>
      <c r="G81" s="56">
        <v>1753</v>
      </c>
      <c r="H81" s="49">
        <v>252.34200000000001</v>
      </c>
      <c r="I81" s="57">
        <f t="shared" si="13"/>
        <v>14.394865944095836</v>
      </c>
      <c r="J81" s="58">
        <f t="shared" si="14"/>
        <v>11.628663594470048</v>
      </c>
      <c r="K81" s="124" t="s">
        <v>152</v>
      </c>
      <c r="L81" s="124" t="s">
        <v>152</v>
      </c>
    </row>
    <row r="82" spans="1:12" x14ac:dyDescent="0.2">
      <c r="A82" s="33">
        <v>2006</v>
      </c>
      <c r="B82" s="54">
        <v>22</v>
      </c>
      <c r="C82" s="54">
        <f t="shared" si="15"/>
        <v>1.6000000000000014</v>
      </c>
      <c r="D82" s="54">
        <v>20.399999999999999</v>
      </c>
      <c r="E82" s="55">
        <f t="shared" si="11"/>
        <v>7.2727272727272796</v>
      </c>
      <c r="F82" s="55">
        <f t="shared" si="12"/>
        <v>79.117647058823536</v>
      </c>
      <c r="G82" s="56">
        <v>1614</v>
      </c>
      <c r="H82" s="49">
        <v>213.184</v>
      </c>
      <c r="I82" s="57">
        <f t="shared" si="13"/>
        <v>13.208426270136306</v>
      </c>
      <c r="J82" s="58">
        <f t="shared" si="14"/>
        <v>10.450196078431373</v>
      </c>
      <c r="K82" s="124" t="s">
        <v>152</v>
      </c>
      <c r="L82" s="124" t="s">
        <v>152</v>
      </c>
    </row>
    <row r="83" spans="1:12" x14ac:dyDescent="0.2">
      <c r="A83" s="33">
        <v>2007</v>
      </c>
      <c r="B83" s="59">
        <v>22.9</v>
      </c>
      <c r="C83" s="59">
        <f t="shared" si="15"/>
        <v>2.5</v>
      </c>
      <c r="D83" s="59">
        <v>20.399999999999999</v>
      </c>
      <c r="E83" s="55">
        <f t="shared" si="11"/>
        <v>10.91703056768559</v>
      </c>
      <c r="F83" s="55">
        <f t="shared" si="12"/>
        <v>73.186274509803923</v>
      </c>
      <c r="G83" s="56">
        <v>1493</v>
      </c>
      <c r="H83" s="49">
        <v>206.036</v>
      </c>
      <c r="I83" s="57">
        <f t="shared" si="13"/>
        <v>13.800133958472873</v>
      </c>
      <c r="J83" s="58">
        <f t="shared" si="14"/>
        <v>10.099803921568629</v>
      </c>
      <c r="K83" s="124" t="s">
        <v>152</v>
      </c>
      <c r="L83" s="124" t="s">
        <v>152</v>
      </c>
    </row>
    <row r="84" spans="1:12" x14ac:dyDescent="0.2">
      <c r="A84" s="33">
        <v>2008</v>
      </c>
      <c r="B84" s="59">
        <v>22.8</v>
      </c>
      <c r="C84" s="59">
        <f t="shared" si="15"/>
        <v>2.4000000000000021</v>
      </c>
      <c r="D84" s="59">
        <v>20.399999999999999</v>
      </c>
      <c r="E84" s="55">
        <f t="shared" si="11"/>
        <v>10.526315789473694</v>
      </c>
      <c r="F84" s="55">
        <f t="shared" si="12"/>
        <v>69.705882352941188</v>
      </c>
      <c r="G84" s="56">
        <v>1422</v>
      </c>
      <c r="H84" s="49">
        <v>185.17200000000003</v>
      </c>
      <c r="I84" s="57">
        <f t="shared" si="13"/>
        <v>13.021940928270043</v>
      </c>
      <c r="J84" s="58">
        <f t="shared" si="14"/>
        <v>9.0770588235294145</v>
      </c>
      <c r="K84" s="124" t="s">
        <v>152</v>
      </c>
      <c r="L84" s="124" t="s">
        <v>152</v>
      </c>
    </row>
    <row r="85" spans="1:12" x14ac:dyDescent="0.2">
      <c r="A85" s="33">
        <v>2009</v>
      </c>
      <c r="B85" s="54">
        <v>22.2</v>
      </c>
      <c r="C85" s="59">
        <f t="shared" si="15"/>
        <v>1.8999999999999986</v>
      </c>
      <c r="D85" s="59">
        <v>20.3</v>
      </c>
      <c r="E85" s="55">
        <f t="shared" si="11"/>
        <v>8.5585585585585537</v>
      </c>
      <c r="F85" s="55">
        <f t="shared" si="12"/>
        <v>65.123152709359601</v>
      </c>
      <c r="G85" s="56">
        <v>1322</v>
      </c>
      <c r="H85" s="49">
        <v>176.20900000000003</v>
      </c>
      <c r="I85" s="57">
        <f t="shared" si="13"/>
        <v>13.328971255673224</v>
      </c>
      <c r="J85" s="58">
        <f t="shared" si="14"/>
        <v>8.68024630541872</v>
      </c>
      <c r="K85" s="124" t="s">
        <v>152</v>
      </c>
      <c r="L85" s="124" t="s">
        <v>152</v>
      </c>
    </row>
    <row r="86" spans="1:12" x14ac:dyDescent="0.2">
      <c r="A86" s="33">
        <v>2010</v>
      </c>
      <c r="B86" s="54">
        <v>17.399999999999999</v>
      </c>
      <c r="C86" s="59">
        <f t="shared" si="15"/>
        <v>1.8999999999999986</v>
      </c>
      <c r="D86" s="59">
        <v>15.5</v>
      </c>
      <c r="E86" s="55">
        <f t="shared" si="11"/>
        <v>10.919540229885049</v>
      </c>
      <c r="F86" s="55">
        <f t="shared" si="12"/>
        <v>77.096774193548384</v>
      </c>
      <c r="G86" s="56">
        <v>1195</v>
      </c>
      <c r="H86" s="49">
        <v>171.77199999999999</v>
      </c>
      <c r="I86" s="57">
        <f t="shared" si="13"/>
        <v>14.374225941422594</v>
      </c>
      <c r="J86" s="58">
        <f t="shared" si="14"/>
        <v>11.082064516129032</v>
      </c>
      <c r="K86" s="124" t="s">
        <v>152</v>
      </c>
      <c r="L86" s="124" t="s">
        <v>152</v>
      </c>
    </row>
    <row r="87" spans="1:12" x14ac:dyDescent="0.2">
      <c r="A87" s="33">
        <v>2011</v>
      </c>
      <c r="B87" s="54">
        <v>16.600000000000001</v>
      </c>
      <c r="C87" s="59">
        <f t="shared" si="15"/>
        <v>1.5000000000000018</v>
      </c>
      <c r="D87" s="59">
        <v>15.1</v>
      </c>
      <c r="E87" s="55">
        <f t="shared" si="11"/>
        <v>9.0361445783132623</v>
      </c>
      <c r="F87" s="55">
        <f t="shared" si="12"/>
        <v>85.231788079470206</v>
      </c>
      <c r="G87" s="56">
        <v>1287</v>
      </c>
      <c r="H87" s="49">
        <v>182.79499999999999</v>
      </c>
      <c r="I87" s="57">
        <f t="shared" si="13"/>
        <v>14.203185703185703</v>
      </c>
      <c r="J87" s="58">
        <f t="shared" si="14"/>
        <v>12.105629139072848</v>
      </c>
      <c r="K87" s="124" t="s">
        <v>152</v>
      </c>
      <c r="L87" s="124" t="s">
        <v>152</v>
      </c>
    </row>
    <row r="88" spans="1:12" x14ac:dyDescent="0.2">
      <c r="A88" s="33">
        <v>2012</v>
      </c>
      <c r="B88" s="54">
        <v>17.399999999999999</v>
      </c>
      <c r="C88" s="59">
        <f t="shared" si="15"/>
        <v>1.5</v>
      </c>
      <c r="D88" s="59">
        <v>15.899999999999999</v>
      </c>
      <c r="E88" s="55">
        <f t="shared" si="11"/>
        <v>8.6206896551724146</v>
      </c>
      <c r="F88" s="55">
        <f t="shared" si="12"/>
        <v>79.371069182389945</v>
      </c>
      <c r="G88" s="56">
        <v>1262</v>
      </c>
      <c r="H88" s="49">
        <v>178.41</v>
      </c>
      <c r="I88" s="57">
        <f t="shared" si="13"/>
        <v>14.137083993660857</v>
      </c>
      <c r="J88" s="58">
        <f t="shared" si="14"/>
        <v>11.220754716981133</v>
      </c>
      <c r="K88" s="124" t="s">
        <v>152</v>
      </c>
      <c r="L88" s="124" t="s">
        <v>152</v>
      </c>
    </row>
    <row r="89" spans="1:12" x14ac:dyDescent="0.2">
      <c r="A89" s="33">
        <v>2013</v>
      </c>
      <c r="B89" s="54">
        <v>17.7</v>
      </c>
      <c r="C89" s="59">
        <f t="shared" si="15"/>
        <v>2.1999999999999993</v>
      </c>
      <c r="D89" s="59">
        <v>15.5</v>
      </c>
      <c r="E89" s="55">
        <f t="shared" si="11"/>
        <v>12.429378531073443</v>
      </c>
      <c r="F89" s="55">
        <f t="shared" si="12"/>
        <v>87.225806451612897</v>
      </c>
      <c r="G89" s="56">
        <v>1352</v>
      </c>
      <c r="H89" s="49">
        <v>168.11199999999999</v>
      </c>
      <c r="I89" s="57">
        <f t="shared" si="13"/>
        <v>12.434319526627219</v>
      </c>
      <c r="J89" s="58">
        <f t="shared" si="14"/>
        <v>10.845935483870967</v>
      </c>
      <c r="K89" s="124" t="s">
        <v>152</v>
      </c>
      <c r="L89" s="124" t="s">
        <v>152</v>
      </c>
    </row>
    <row r="90" spans="1:12" x14ac:dyDescent="0.2">
      <c r="A90" s="33">
        <v>2014</v>
      </c>
      <c r="B90" s="54">
        <v>16.399999999999999</v>
      </c>
      <c r="C90" s="59">
        <f t="shared" si="15"/>
        <v>2.1999999999999993</v>
      </c>
      <c r="D90" s="59">
        <v>14.2</v>
      </c>
      <c r="E90" s="55">
        <f t="shared" si="11"/>
        <v>13.414634146341461</v>
      </c>
      <c r="F90" s="55">
        <f t="shared" si="12"/>
        <v>88.802816901408448</v>
      </c>
      <c r="G90" s="56">
        <v>1261</v>
      </c>
      <c r="H90" s="49">
        <v>145.57900000000001</v>
      </c>
      <c r="I90" s="57">
        <f t="shared" si="13"/>
        <v>11.544726407613007</v>
      </c>
      <c r="J90" s="58">
        <f t="shared" si="14"/>
        <v>10.252042253521127</v>
      </c>
      <c r="K90" s="124" t="s">
        <v>152</v>
      </c>
      <c r="L90" s="124" t="s">
        <v>152</v>
      </c>
    </row>
    <row r="91" spans="1:12" x14ac:dyDescent="0.2">
      <c r="A91" s="33">
        <v>2015</v>
      </c>
      <c r="B91" s="54">
        <v>15.1</v>
      </c>
      <c r="C91" s="59">
        <f t="shared" si="15"/>
        <v>2.1999999999999993</v>
      </c>
      <c r="D91" s="59">
        <v>12.9</v>
      </c>
      <c r="E91" s="55">
        <f t="shared" si="11"/>
        <v>14.569536423841056</v>
      </c>
      <c r="F91" s="55">
        <f t="shared" si="12"/>
        <v>88.294573643410857</v>
      </c>
      <c r="G91" s="56">
        <v>1139</v>
      </c>
      <c r="H91" s="49">
        <v>152.316</v>
      </c>
      <c r="I91" s="57">
        <f t="shared" si="13"/>
        <v>13.372783143107988</v>
      </c>
      <c r="J91" s="58">
        <f t="shared" si="14"/>
        <v>11.807441860465117</v>
      </c>
      <c r="K91" s="124" t="s">
        <v>152</v>
      </c>
      <c r="L91" s="124" t="s">
        <v>152</v>
      </c>
    </row>
    <row r="92" spans="1:12" x14ac:dyDescent="0.2">
      <c r="A92" s="33">
        <v>2016</v>
      </c>
      <c r="B92" s="54">
        <v>15.5</v>
      </c>
      <c r="C92" s="59">
        <f t="shared" si="15"/>
        <v>0</v>
      </c>
      <c r="D92" s="59">
        <v>15.5</v>
      </c>
      <c r="E92" s="55">
        <f t="shared" si="11"/>
        <v>0</v>
      </c>
      <c r="F92" s="55">
        <f t="shared" si="12"/>
        <v>86.193548387096769</v>
      </c>
      <c r="G92" s="56">
        <v>1336</v>
      </c>
      <c r="H92" s="49">
        <v>43.197000000000003</v>
      </c>
      <c r="I92" s="57">
        <f t="shared" si="13"/>
        <v>3.233308383233533</v>
      </c>
      <c r="J92" s="58">
        <f t="shared" si="14"/>
        <v>2.7869032258064519</v>
      </c>
      <c r="K92" s="124" t="s">
        <v>152</v>
      </c>
      <c r="L92" s="124" t="s">
        <v>152</v>
      </c>
    </row>
    <row r="93" spans="1:12" x14ac:dyDescent="0.2">
      <c r="A93" s="33">
        <v>2017</v>
      </c>
      <c r="B93" s="54">
        <v>0</v>
      </c>
      <c r="C93" s="59">
        <f t="shared" si="15"/>
        <v>0</v>
      </c>
      <c r="D93" s="59">
        <v>0</v>
      </c>
      <c r="E93" s="55">
        <v>0</v>
      </c>
      <c r="F93" s="55">
        <v>0</v>
      </c>
      <c r="G93" s="56">
        <v>0</v>
      </c>
      <c r="H93" s="49">
        <v>0</v>
      </c>
      <c r="I93" s="57">
        <v>0</v>
      </c>
      <c r="J93" s="58">
        <v>0</v>
      </c>
      <c r="K93" s="124" t="s">
        <v>152</v>
      </c>
      <c r="L93" s="124" t="s">
        <v>152</v>
      </c>
    </row>
    <row r="94" spans="1:12" x14ac:dyDescent="0.2">
      <c r="A94" s="33"/>
      <c r="B94" s="54"/>
      <c r="C94" s="59"/>
      <c r="D94" s="59"/>
      <c r="E94" s="55"/>
      <c r="F94" s="61"/>
      <c r="G94" s="61"/>
      <c r="H94" s="49"/>
      <c r="I94" s="61"/>
      <c r="J94" s="61"/>
    </row>
    <row r="95" spans="1:12" x14ac:dyDescent="0.2">
      <c r="A95" s="21" t="s">
        <v>295</v>
      </c>
      <c r="B95" s="54"/>
      <c r="C95" s="54"/>
      <c r="D95" s="54"/>
      <c r="E95" s="55"/>
      <c r="F95" s="55"/>
      <c r="G95" s="56"/>
      <c r="H95" s="49"/>
      <c r="I95" s="57"/>
      <c r="J95" s="58"/>
    </row>
    <row r="96" spans="1:12" x14ac:dyDescent="0.2">
      <c r="A96" s="33" t="s">
        <v>199</v>
      </c>
      <c r="B96" s="54">
        <v>254</v>
      </c>
      <c r="C96" s="54">
        <f t="shared" ref="C96:C140" si="16">B96-D96</f>
        <v>22</v>
      </c>
      <c r="D96" s="54">
        <v>232</v>
      </c>
      <c r="E96" s="55">
        <f t="shared" ref="E96:E137" si="17">C96/B96*100</f>
        <v>8.6614173228346463</v>
      </c>
      <c r="F96" s="55">
        <f t="shared" ref="F96:F139" si="18">G96/D96</f>
        <v>23.336206896551722</v>
      </c>
      <c r="G96" s="56">
        <v>5414</v>
      </c>
      <c r="H96" s="49">
        <v>491</v>
      </c>
      <c r="I96" s="57">
        <f t="shared" ref="I96:I137" si="19">H96/G96*100</f>
        <v>9.0690801625415602</v>
      </c>
      <c r="J96" s="58">
        <f t="shared" ref="J96:J137" si="20">H96/D96</f>
        <v>2.1163793103448274</v>
      </c>
      <c r="K96" s="124" t="s">
        <v>152</v>
      </c>
      <c r="L96" s="124" t="s">
        <v>152</v>
      </c>
    </row>
    <row r="97" spans="1:15" x14ac:dyDescent="0.2">
      <c r="A97" s="33" t="s">
        <v>200</v>
      </c>
      <c r="B97" s="54">
        <v>265</v>
      </c>
      <c r="C97" s="54">
        <f t="shared" si="16"/>
        <v>18</v>
      </c>
      <c r="D97" s="54">
        <v>247</v>
      </c>
      <c r="E97" s="55">
        <f t="shared" si="17"/>
        <v>6.7924528301886795</v>
      </c>
      <c r="F97" s="55">
        <f t="shared" si="18"/>
        <v>26.923076923076923</v>
      </c>
      <c r="G97" s="56">
        <v>6650</v>
      </c>
      <c r="H97" s="49">
        <v>712</v>
      </c>
      <c r="I97" s="57">
        <f t="shared" si="19"/>
        <v>10.706766917293233</v>
      </c>
      <c r="J97" s="58">
        <f t="shared" si="20"/>
        <v>2.882591093117409</v>
      </c>
      <c r="K97" s="124" t="s">
        <v>152</v>
      </c>
      <c r="L97" s="124" t="s">
        <v>152</v>
      </c>
    </row>
    <row r="98" spans="1:15" x14ac:dyDescent="0.2">
      <c r="A98" s="33" t="s">
        <v>201</v>
      </c>
      <c r="B98" s="54">
        <v>255</v>
      </c>
      <c r="C98" s="54">
        <f t="shared" si="16"/>
        <v>21</v>
      </c>
      <c r="D98" s="54">
        <v>234</v>
      </c>
      <c r="E98" s="55">
        <f t="shared" si="17"/>
        <v>8.235294117647058</v>
      </c>
      <c r="F98" s="55">
        <f t="shared" si="18"/>
        <v>27.564102564102566</v>
      </c>
      <c r="G98" s="56">
        <v>6450</v>
      </c>
      <c r="H98" s="49">
        <v>675</v>
      </c>
      <c r="I98" s="57">
        <f t="shared" si="19"/>
        <v>10.465116279069768</v>
      </c>
      <c r="J98" s="58">
        <f t="shared" si="20"/>
        <v>2.8846153846153846</v>
      </c>
      <c r="K98" s="124" t="s">
        <v>152</v>
      </c>
      <c r="L98" s="124" t="s">
        <v>152</v>
      </c>
    </row>
    <row r="99" spans="1:15" x14ac:dyDescent="0.2">
      <c r="A99" s="33" t="s">
        <v>202</v>
      </c>
      <c r="B99" s="54">
        <v>265</v>
      </c>
      <c r="C99" s="54">
        <f t="shared" si="16"/>
        <v>20</v>
      </c>
      <c r="D99" s="54">
        <v>245</v>
      </c>
      <c r="E99" s="55">
        <f t="shared" si="17"/>
        <v>7.5471698113207548</v>
      </c>
      <c r="F99" s="55">
        <f t="shared" si="18"/>
        <v>23.877551020408163</v>
      </c>
      <c r="G99" s="56">
        <v>5850</v>
      </c>
      <c r="H99" s="49">
        <v>603</v>
      </c>
      <c r="I99" s="57">
        <f t="shared" si="19"/>
        <v>10.307692307692308</v>
      </c>
      <c r="J99" s="58">
        <f t="shared" si="20"/>
        <v>2.4612244897959186</v>
      </c>
      <c r="K99" s="124" t="s">
        <v>152</v>
      </c>
      <c r="L99" s="124" t="s">
        <v>152</v>
      </c>
    </row>
    <row r="100" spans="1:15" x14ac:dyDescent="0.2">
      <c r="A100" s="33" t="s">
        <v>203</v>
      </c>
      <c r="B100" s="54">
        <v>230</v>
      </c>
      <c r="C100" s="54">
        <f t="shared" si="16"/>
        <v>25</v>
      </c>
      <c r="D100" s="54">
        <v>205</v>
      </c>
      <c r="E100" s="55">
        <f t="shared" si="17"/>
        <v>10.869565217391305</v>
      </c>
      <c r="F100" s="55">
        <f t="shared" si="18"/>
        <v>22</v>
      </c>
      <c r="G100" s="56">
        <v>4510</v>
      </c>
      <c r="H100" s="49">
        <v>452</v>
      </c>
      <c r="I100" s="57">
        <f t="shared" si="19"/>
        <v>10.022172949002217</v>
      </c>
      <c r="J100" s="58">
        <f t="shared" si="20"/>
        <v>2.204878048780488</v>
      </c>
      <c r="K100" s="124" t="s">
        <v>152</v>
      </c>
      <c r="L100" s="124" t="s">
        <v>152</v>
      </c>
    </row>
    <row r="101" spans="1:15" x14ac:dyDescent="0.2">
      <c r="A101" s="33" t="s">
        <v>204</v>
      </c>
      <c r="B101" s="54">
        <v>250</v>
      </c>
      <c r="C101" s="54">
        <f t="shared" si="16"/>
        <v>24</v>
      </c>
      <c r="D101" s="54">
        <v>226</v>
      </c>
      <c r="E101" s="55">
        <f t="shared" si="17"/>
        <v>9.6</v>
      </c>
      <c r="F101" s="55">
        <f t="shared" si="18"/>
        <v>24.026548672566371</v>
      </c>
      <c r="G101" s="56">
        <v>5430</v>
      </c>
      <c r="H101" s="49">
        <v>532</v>
      </c>
      <c r="I101" s="57">
        <f t="shared" si="19"/>
        <v>9.7974217311233893</v>
      </c>
      <c r="J101" s="58">
        <f t="shared" si="20"/>
        <v>2.3539823008849559</v>
      </c>
      <c r="K101" s="124" t="s">
        <v>152</v>
      </c>
      <c r="L101" s="124" t="s">
        <v>152</v>
      </c>
    </row>
    <row r="102" spans="1:15" x14ac:dyDescent="0.2">
      <c r="A102" s="33" t="s">
        <v>205</v>
      </c>
      <c r="B102" s="54">
        <v>270</v>
      </c>
      <c r="C102" s="54">
        <f t="shared" si="16"/>
        <v>22</v>
      </c>
      <c r="D102" s="54">
        <v>248</v>
      </c>
      <c r="E102" s="55">
        <f t="shared" si="17"/>
        <v>8.1481481481481488</v>
      </c>
      <c r="F102" s="55">
        <f t="shared" si="18"/>
        <v>27.298387096774192</v>
      </c>
      <c r="G102" s="56">
        <v>6770</v>
      </c>
      <c r="H102" s="49">
        <v>671</v>
      </c>
      <c r="I102" s="57">
        <f t="shared" si="19"/>
        <v>9.9113737075332349</v>
      </c>
      <c r="J102" s="58">
        <f t="shared" si="20"/>
        <v>2.7056451612903225</v>
      </c>
      <c r="K102" s="124" t="s">
        <v>152</v>
      </c>
      <c r="L102" s="124" t="s">
        <v>152</v>
      </c>
    </row>
    <row r="103" spans="1:15" x14ac:dyDescent="0.2">
      <c r="A103" s="33" t="s">
        <v>206</v>
      </c>
      <c r="B103" s="54">
        <v>285</v>
      </c>
      <c r="C103" s="54">
        <f t="shared" si="16"/>
        <v>22</v>
      </c>
      <c r="D103" s="54">
        <v>263</v>
      </c>
      <c r="E103" s="55">
        <f t="shared" si="17"/>
        <v>7.7192982456140351</v>
      </c>
      <c r="F103" s="55">
        <f t="shared" si="18"/>
        <v>22.699619771863119</v>
      </c>
      <c r="G103" s="56">
        <v>5970</v>
      </c>
      <c r="H103" s="49">
        <v>731</v>
      </c>
      <c r="I103" s="57">
        <f t="shared" si="19"/>
        <v>12.244556113902847</v>
      </c>
      <c r="J103" s="58">
        <f t="shared" si="20"/>
        <v>2.7794676806083651</v>
      </c>
      <c r="K103" s="124" t="s">
        <v>152</v>
      </c>
      <c r="L103" s="124" t="s">
        <v>152</v>
      </c>
    </row>
    <row r="104" spans="1:15" x14ac:dyDescent="0.2">
      <c r="A104" s="33" t="s">
        <v>207</v>
      </c>
      <c r="B104" s="54">
        <v>305</v>
      </c>
      <c r="C104" s="54">
        <f t="shared" si="16"/>
        <v>26</v>
      </c>
      <c r="D104" s="54">
        <v>279</v>
      </c>
      <c r="E104" s="55">
        <f t="shared" si="17"/>
        <v>8.524590163934425</v>
      </c>
      <c r="F104" s="55">
        <f t="shared" si="18"/>
        <v>25.268817204301076</v>
      </c>
      <c r="G104" s="56">
        <v>7050</v>
      </c>
      <c r="H104" s="49">
        <v>797</v>
      </c>
      <c r="I104" s="57">
        <f t="shared" si="19"/>
        <v>11.304964539007093</v>
      </c>
      <c r="J104" s="58">
        <f t="shared" si="20"/>
        <v>2.8566308243727598</v>
      </c>
      <c r="K104" s="124" t="s">
        <v>152</v>
      </c>
      <c r="L104" s="124" t="s">
        <v>152</v>
      </c>
    </row>
    <row r="105" spans="1:15" x14ac:dyDescent="0.2">
      <c r="A105" s="33" t="s">
        <v>208</v>
      </c>
      <c r="B105" s="54">
        <v>315</v>
      </c>
      <c r="C105" s="54">
        <f t="shared" si="16"/>
        <v>25</v>
      </c>
      <c r="D105" s="54">
        <v>290</v>
      </c>
      <c r="E105" s="55">
        <f t="shared" si="17"/>
        <v>7.9365079365079358</v>
      </c>
      <c r="F105" s="55">
        <f t="shared" si="18"/>
        <v>25.655172413793103</v>
      </c>
      <c r="G105" s="56">
        <v>7440</v>
      </c>
      <c r="H105" s="49">
        <v>844</v>
      </c>
      <c r="I105" s="57">
        <f t="shared" si="19"/>
        <v>11.344086021505376</v>
      </c>
      <c r="J105" s="58">
        <f t="shared" si="20"/>
        <v>2.9103448275862069</v>
      </c>
      <c r="K105" s="124" t="s">
        <v>152</v>
      </c>
      <c r="L105" s="124" t="s">
        <v>152</v>
      </c>
    </row>
    <row r="106" spans="1:15" x14ac:dyDescent="0.2">
      <c r="A106" s="33" t="s">
        <v>209</v>
      </c>
      <c r="B106" s="54">
        <v>245</v>
      </c>
      <c r="C106" s="54">
        <f t="shared" si="16"/>
        <v>44</v>
      </c>
      <c r="D106" s="54">
        <v>201</v>
      </c>
      <c r="E106" s="55">
        <f t="shared" si="17"/>
        <v>17.959183673469386</v>
      </c>
      <c r="F106" s="55">
        <f t="shared" si="18"/>
        <v>20.64676616915423</v>
      </c>
      <c r="G106" s="56">
        <v>4150</v>
      </c>
      <c r="H106" s="49">
        <v>438</v>
      </c>
      <c r="I106" s="57">
        <f t="shared" si="19"/>
        <v>10.554216867469879</v>
      </c>
      <c r="J106" s="58">
        <f t="shared" si="20"/>
        <v>2.1791044776119404</v>
      </c>
      <c r="K106" s="124" t="s">
        <v>152</v>
      </c>
      <c r="L106" s="124" t="s">
        <v>152</v>
      </c>
    </row>
    <row r="107" spans="1:15" x14ac:dyDescent="0.2">
      <c r="A107" s="33" t="s">
        <v>210</v>
      </c>
      <c r="B107" s="54">
        <v>345</v>
      </c>
      <c r="C107" s="54">
        <f t="shared" si="16"/>
        <v>24</v>
      </c>
      <c r="D107" s="54">
        <v>321</v>
      </c>
      <c r="E107" s="55">
        <f t="shared" si="17"/>
        <v>6.9565217391304346</v>
      </c>
      <c r="F107" s="55">
        <f t="shared" si="18"/>
        <v>22.087227414330219</v>
      </c>
      <c r="G107" s="56">
        <v>7090</v>
      </c>
      <c r="H107" s="49">
        <v>763.4</v>
      </c>
      <c r="I107" s="57">
        <f t="shared" si="19"/>
        <v>10.767277856135401</v>
      </c>
      <c r="J107" s="58">
        <f t="shared" si="20"/>
        <v>2.3781931464174453</v>
      </c>
      <c r="K107" s="89">
        <f>Table18!J40</f>
        <v>0.7</v>
      </c>
      <c r="L107" s="124" t="s">
        <v>152</v>
      </c>
      <c r="M107" s="208"/>
    </row>
    <row r="108" spans="1:15" x14ac:dyDescent="0.2">
      <c r="A108" s="33" t="s">
        <v>211</v>
      </c>
      <c r="B108" s="54">
        <v>375</v>
      </c>
      <c r="C108" s="54">
        <f t="shared" si="16"/>
        <v>30</v>
      </c>
      <c r="D108" s="54">
        <v>345</v>
      </c>
      <c r="E108" s="55">
        <f t="shared" si="17"/>
        <v>8</v>
      </c>
      <c r="F108" s="55">
        <f t="shared" si="18"/>
        <v>23.217391304347824</v>
      </c>
      <c r="G108" s="56">
        <v>8010</v>
      </c>
      <c r="H108" s="49">
        <f>SUM(Table18!J40:M40)+SUM(Table18!B41:I41)</f>
        <v>876.19399999999996</v>
      </c>
      <c r="I108" s="57">
        <f t="shared" si="19"/>
        <v>10.938751560549314</v>
      </c>
      <c r="J108" s="58">
        <f t="shared" si="20"/>
        <v>2.5396927536231884</v>
      </c>
      <c r="K108" s="89">
        <f>Table18!J41</f>
        <v>0</v>
      </c>
      <c r="L108" s="89">
        <f>H108-K107+K108</f>
        <v>875.49399999999991</v>
      </c>
      <c r="M108" s="208"/>
      <c r="N108" s="208"/>
      <c r="O108" s="208"/>
    </row>
    <row r="109" spans="1:15" x14ac:dyDescent="0.2">
      <c r="A109" s="33" t="s">
        <v>212</v>
      </c>
      <c r="B109" s="54">
        <v>390</v>
      </c>
      <c r="C109" s="54">
        <f t="shared" si="16"/>
        <v>30</v>
      </c>
      <c r="D109" s="54">
        <v>360</v>
      </c>
      <c r="E109" s="55">
        <f t="shared" si="17"/>
        <v>7.6923076923076925</v>
      </c>
      <c r="F109" s="55">
        <f t="shared" si="18"/>
        <v>22.833333333333332</v>
      </c>
      <c r="G109" s="56">
        <v>8220</v>
      </c>
      <c r="H109" s="49">
        <f>SUM(Table18!J41:M41)+SUM(Table18!B42:I42)</f>
        <v>890.30000000000007</v>
      </c>
      <c r="I109" s="57">
        <f t="shared" si="19"/>
        <v>10.830900243309003</v>
      </c>
      <c r="J109" s="58">
        <f t="shared" si="20"/>
        <v>2.4730555555555558</v>
      </c>
      <c r="K109" s="89">
        <f>Table18!J42</f>
        <v>2.4</v>
      </c>
      <c r="L109" s="89">
        <f>H109-K108+K109</f>
        <v>892.7</v>
      </c>
      <c r="M109" s="208"/>
      <c r="N109" s="208"/>
      <c r="O109" s="208"/>
    </row>
    <row r="110" spans="1:15" x14ac:dyDescent="0.2">
      <c r="A110" s="33" t="s">
        <v>213</v>
      </c>
      <c r="B110" s="54">
        <v>380</v>
      </c>
      <c r="C110" s="54">
        <f t="shared" si="16"/>
        <v>28</v>
      </c>
      <c r="D110" s="54">
        <v>352</v>
      </c>
      <c r="E110" s="55">
        <f t="shared" si="17"/>
        <v>7.3684210526315779</v>
      </c>
      <c r="F110" s="55">
        <f t="shared" si="18"/>
        <v>24.400568181818183</v>
      </c>
      <c r="G110" s="56">
        <v>8589</v>
      </c>
      <c r="H110" s="49">
        <f>SUM(Table18!J42:M42)+SUM(Table18!B43:I43)</f>
        <v>1021.176</v>
      </c>
      <c r="I110" s="57">
        <f t="shared" si="19"/>
        <v>11.889346838980092</v>
      </c>
      <c r="J110" s="58">
        <f t="shared" si="20"/>
        <v>2.9010681818181818</v>
      </c>
      <c r="K110" s="89">
        <f>Table18!J43</f>
        <v>0</v>
      </c>
      <c r="L110" s="89">
        <f>H110-K109+K110</f>
        <v>1018.7760000000001</v>
      </c>
      <c r="M110" s="208"/>
      <c r="N110" s="208"/>
      <c r="O110" s="208"/>
    </row>
    <row r="111" spans="1:15" x14ac:dyDescent="0.2">
      <c r="A111" s="33" t="s">
        <v>214</v>
      </c>
      <c r="B111" s="54">
        <v>400</v>
      </c>
      <c r="C111" s="54">
        <f t="shared" si="16"/>
        <v>32</v>
      </c>
      <c r="D111" s="54">
        <v>368</v>
      </c>
      <c r="E111" s="55">
        <f t="shared" si="17"/>
        <v>8</v>
      </c>
      <c r="F111" s="55">
        <f t="shared" si="18"/>
        <v>25.600543478260871</v>
      </c>
      <c r="G111" s="56">
        <v>9421</v>
      </c>
      <c r="H111" s="49">
        <f>SUM(Table18!J43:M43)+SUM(Table18!B44:I44)</f>
        <v>1057.1499999999999</v>
      </c>
      <c r="I111" s="57">
        <f t="shared" si="19"/>
        <v>11.221207939709158</v>
      </c>
      <c r="J111" s="58">
        <f t="shared" si="20"/>
        <v>2.872690217391304</v>
      </c>
      <c r="K111" s="89">
        <f>Table18!J44</f>
        <v>0</v>
      </c>
      <c r="L111" s="89">
        <f>H111-K110+K111</f>
        <v>1057.1499999999999</v>
      </c>
      <c r="M111" s="208"/>
      <c r="N111" s="208"/>
      <c r="O111" s="208"/>
    </row>
    <row r="112" spans="1:15" x14ac:dyDescent="0.2">
      <c r="A112" s="33" t="s">
        <v>215</v>
      </c>
      <c r="B112" s="54">
        <v>370</v>
      </c>
      <c r="C112" s="54">
        <f t="shared" si="16"/>
        <v>35</v>
      </c>
      <c r="D112" s="54">
        <v>335</v>
      </c>
      <c r="E112" s="55">
        <f t="shared" si="17"/>
        <v>9.4594594594594597</v>
      </c>
      <c r="F112" s="55">
        <f t="shared" si="18"/>
        <v>27.901492537313434</v>
      </c>
      <c r="G112" s="56">
        <v>9347</v>
      </c>
      <c r="H112" s="49">
        <f>SUM(Table18!J44:M44)+SUM(Table18!B45:I45)</f>
        <v>1046.0630000000001</v>
      </c>
      <c r="I112" s="57">
        <f t="shared" si="19"/>
        <v>11.191430405477695</v>
      </c>
      <c r="J112" s="58">
        <f t="shared" si="20"/>
        <v>3.1225761194029853</v>
      </c>
      <c r="K112" s="89">
        <f>Table18!J45</f>
        <v>8.4849999999999994</v>
      </c>
      <c r="L112" s="89">
        <f t="shared" ref="L112:L139" si="21">H112-K111+K112</f>
        <v>1054.548</v>
      </c>
      <c r="M112" s="208"/>
      <c r="N112" s="208"/>
      <c r="O112" s="208"/>
    </row>
    <row r="113" spans="1:15" x14ac:dyDescent="0.2">
      <c r="A113" s="33" t="s">
        <v>216</v>
      </c>
      <c r="B113" s="54">
        <v>410</v>
      </c>
      <c r="C113" s="54">
        <f t="shared" si="16"/>
        <v>30</v>
      </c>
      <c r="D113" s="54">
        <v>380</v>
      </c>
      <c r="E113" s="55">
        <f t="shared" si="17"/>
        <v>7.3170731707317067</v>
      </c>
      <c r="F113" s="55">
        <f t="shared" si="18"/>
        <v>28.2</v>
      </c>
      <c r="G113" s="56">
        <v>10716</v>
      </c>
      <c r="H113" s="49">
        <f>SUM(Table18!J45:M45)+SUM(Table18!B46:I46)</f>
        <v>1270.3290000000002</v>
      </c>
      <c r="I113" s="57">
        <f t="shared" si="19"/>
        <v>11.854507278835388</v>
      </c>
      <c r="J113" s="58">
        <f t="shared" si="20"/>
        <v>3.3429710526315795</v>
      </c>
      <c r="K113" s="89">
        <f>Table18!J46</f>
        <v>0</v>
      </c>
      <c r="L113" s="89">
        <f t="shared" si="21"/>
        <v>1261.8440000000003</v>
      </c>
      <c r="M113" s="208"/>
      <c r="N113" s="208"/>
      <c r="O113" s="208"/>
    </row>
    <row r="114" spans="1:15" x14ac:dyDescent="0.2">
      <c r="A114" s="33" t="s">
        <v>217</v>
      </c>
      <c r="B114" s="54">
        <v>435</v>
      </c>
      <c r="C114" s="54">
        <f t="shared" si="16"/>
        <v>35</v>
      </c>
      <c r="D114" s="54">
        <v>400</v>
      </c>
      <c r="E114" s="55">
        <f t="shared" si="17"/>
        <v>8.0459770114942533</v>
      </c>
      <c r="F114" s="55">
        <f t="shared" si="18"/>
        <v>29.7</v>
      </c>
      <c r="G114" s="56">
        <v>11880</v>
      </c>
      <c r="H114" s="49">
        <f>SUM(Table18!J46:M46)+SUM(Table18!B47:I47)</f>
        <v>1257.701</v>
      </c>
      <c r="I114" s="57">
        <f t="shared" si="19"/>
        <v>10.586708754208754</v>
      </c>
      <c r="J114" s="58">
        <f t="shared" si="20"/>
        <v>3.1442524999999999</v>
      </c>
      <c r="K114" s="89">
        <f>Table18!J47</f>
        <v>69.3</v>
      </c>
      <c r="L114" s="89">
        <f t="shared" si="21"/>
        <v>1327.001</v>
      </c>
      <c r="M114" s="208"/>
      <c r="N114" s="208"/>
      <c r="O114" s="208"/>
    </row>
    <row r="115" spans="1:15" x14ac:dyDescent="0.2">
      <c r="A115" s="33" t="s">
        <v>291</v>
      </c>
      <c r="B115" s="54">
        <v>465</v>
      </c>
      <c r="C115" s="54">
        <f t="shared" si="16"/>
        <v>30</v>
      </c>
      <c r="D115" s="54">
        <v>435</v>
      </c>
      <c r="E115" s="55">
        <f t="shared" si="17"/>
        <v>6.4516129032258061</v>
      </c>
      <c r="F115" s="55">
        <f t="shared" si="18"/>
        <v>32.701149425287355</v>
      </c>
      <c r="G115" s="56">
        <v>14225</v>
      </c>
      <c r="H115" s="49">
        <f>SUM(Table18!J47:M47)+SUM(Table18!B48:I48)</f>
        <v>1688.9579999999999</v>
      </c>
      <c r="I115" s="57">
        <f t="shared" si="19"/>
        <v>11.873166959578207</v>
      </c>
      <c r="J115" s="58">
        <f t="shared" si="20"/>
        <v>3.8826620689655171</v>
      </c>
      <c r="K115" s="89">
        <f>Table18!J48</f>
        <v>42.521999999999998</v>
      </c>
      <c r="L115" s="89">
        <f t="shared" si="21"/>
        <v>1662.1799999999998</v>
      </c>
      <c r="M115" s="208"/>
      <c r="N115" s="208"/>
      <c r="O115" s="208"/>
    </row>
    <row r="116" spans="1:15" x14ac:dyDescent="0.2">
      <c r="A116" s="33" t="s">
        <v>292</v>
      </c>
      <c r="B116" s="54">
        <v>500</v>
      </c>
      <c r="C116" s="54">
        <f t="shared" si="16"/>
        <v>35</v>
      </c>
      <c r="D116" s="54">
        <v>465</v>
      </c>
      <c r="E116" s="55">
        <f t="shared" si="17"/>
        <v>7.0000000000000009</v>
      </c>
      <c r="F116" s="55">
        <f t="shared" si="18"/>
        <v>29.701075268817203</v>
      </c>
      <c r="G116" s="56">
        <v>13811</v>
      </c>
      <c r="H116" s="49">
        <f>SUM(Table18!J48:M48)+SUM(Table18!B49:I49)</f>
        <v>1563.8589999999999</v>
      </c>
      <c r="I116" s="57">
        <f t="shared" si="19"/>
        <v>11.323285786691766</v>
      </c>
      <c r="J116" s="58">
        <f t="shared" si="20"/>
        <v>3.3631376344086021</v>
      </c>
      <c r="K116" s="89">
        <f>Table18!J49</f>
        <v>63.753</v>
      </c>
      <c r="L116" s="89">
        <f t="shared" si="21"/>
        <v>1585.09</v>
      </c>
      <c r="M116" s="208"/>
      <c r="N116" s="208"/>
      <c r="O116" s="208"/>
    </row>
    <row r="117" spans="1:15" x14ac:dyDescent="0.2">
      <c r="A117" s="33" t="s">
        <v>293</v>
      </c>
      <c r="B117" s="54">
        <v>495</v>
      </c>
      <c r="C117" s="54">
        <f t="shared" si="16"/>
        <v>35</v>
      </c>
      <c r="D117" s="54">
        <v>460</v>
      </c>
      <c r="E117" s="55">
        <f t="shared" si="17"/>
        <v>7.0707070707070701</v>
      </c>
      <c r="F117" s="55">
        <f t="shared" si="18"/>
        <v>29</v>
      </c>
      <c r="G117" s="56">
        <v>13340</v>
      </c>
      <c r="H117" s="49">
        <f>SUM(Table18!J49:M49)+SUM(Table18!B50:I50)</f>
        <v>1597.94</v>
      </c>
      <c r="I117" s="57">
        <f t="shared" si="19"/>
        <v>11.97856071964018</v>
      </c>
      <c r="J117" s="58">
        <f t="shared" si="20"/>
        <v>3.4737826086956525</v>
      </c>
      <c r="K117" s="89">
        <f>Table18!J50</f>
        <v>45.744</v>
      </c>
      <c r="L117" s="89">
        <f t="shared" si="21"/>
        <v>1579.931</v>
      </c>
      <c r="M117" s="208"/>
      <c r="N117" s="208"/>
      <c r="O117" s="208"/>
    </row>
    <row r="118" spans="1:15" x14ac:dyDescent="0.2">
      <c r="A118" s="33" t="s">
        <v>294</v>
      </c>
      <c r="B118" s="54">
        <v>495</v>
      </c>
      <c r="C118" s="54">
        <f t="shared" si="16"/>
        <v>30</v>
      </c>
      <c r="D118" s="54">
        <v>465</v>
      </c>
      <c r="E118" s="55">
        <f t="shared" si="17"/>
        <v>6.0606060606060606</v>
      </c>
      <c r="F118" s="55">
        <f t="shared" si="18"/>
        <v>28.301075268817204</v>
      </c>
      <c r="G118" s="56">
        <v>13160</v>
      </c>
      <c r="H118" s="49">
        <f>SUM(Table18!J50:M50)+SUM(Table18!B51:I51)</f>
        <v>1333.162</v>
      </c>
      <c r="I118" s="57">
        <f t="shared" si="19"/>
        <v>10.130410334346506</v>
      </c>
      <c r="J118" s="58">
        <f t="shared" si="20"/>
        <v>2.8670150537634411</v>
      </c>
      <c r="K118" s="89">
        <f>Table18!J51</f>
        <v>79.741</v>
      </c>
      <c r="L118" s="89">
        <f t="shared" si="21"/>
        <v>1367.1590000000001</v>
      </c>
      <c r="M118" s="208"/>
      <c r="N118" s="208"/>
      <c r="O118" s="208"/>
    </row>
    <row r="119" spans="1:15" x14ac:dyDescent="0.2">
      <c r="A119" s="35" t="s">
        <v>222</v>
      </c>
      <c r="B119" s="54">
        <v>490</v>
      </c>
      <c r="C119" s="54">
        <f t="shared" si="16"/>
        <v>40</v>
      </c>
      <c r="D119" s="54">
        <v>450</v>
      </c>
      <c r="E119" s="55">
        <f t="shared" si="17"/>
        <v>8.1632653061224492</v>
      </c>
      <c r="F119" s="55">
        <f t="shared" si="18"/>
        <v>26.2</v>
      </c>
      <c r="G119" s="56">
        <v>11790</v>
      </c>
      <c r="H119" s="49">
        <f>SUM(Table18!J51:M51)+SUM(Table18!B52:I52)</f>
        <v>1416.7930000000001</v>
      </c>
      <c r="I119" s="57">
        <f t="shared" si="19"/>
        <v>12.016904156064461</v>
      </c>
      <c r="J119" s="58">
        <f t="shared" si="20"/>
        <v>3.1484288888888892</v>
      </c>
      <c r="K119" s="89">
        <f>Table18!J52</f>
        <v>40.012</v>
      </c>
      <c r="L119" s="89">
        <f t="shared" si="21"/>
        <v>1377.0640000000001</v>
      </c>
      <c r="M119" s="208"/>
      <c r="N119" s="208"/>
      <c r="O119" s="208"/>
    </row>
    <row r="120" spans="1:15" x14ac:dyDescent="0.2">
      <c r="A120" s="35" t="s">
        <v>223</v>
      </c>
      <c r="B120" s="54">
        <v>465</v>
      </c>
      <c r="C120" s="54">
        <f t="shared" si="16"/>
        <v>35</v>
      </c>
      <c r="D120" s="54">
        <v>430</v>
      </c>
      <c r="E120" s="55">
        <f t="shared" si="17"/>
        <v>7.5268817204301079</v>
      </c>
      <c r="F120" s="55">
        <f t="shared" si="18"/>
        <v>23.8</v>
      </c>
      <c r="G120" s="56">
        <v>10234</v>
      </c>
      <c r="H120" s="49">
        <f>SUM(Table18!J52:M52)+SUM(Table18!B53:I53)</f>
        <v>1196.06</v>
      </c>
      <c r="I120" s="57">
        <f t="shared" si="19"/>
        <v>11.687121360171975</v>
      </c>
      <c r="J120" s="58">
        <f t="shared" si="20"/>
        <v>2.7815348837209299</v>
      </c>
      <c r="K120" s="89">
        <f>Table18!J53</f>
        <v>0.72499999999999998</v>
      </c>
      <c r="L120" s="89">
        <f>H120-K119+K120</f>
        <v>1156.7729999999999</v>
      </c>
      <c r="M120" s="208"/>
      <c r="N120" s="208"/>
      <c r="O120" s="208"/>
    </row>
    <row r="121" spans="1:15" x14ac:dyDescent="0.2">
      <c r="A121" s="35" t="s">
        <v>224</v>
      </c>
      <c r="B121" s="54">
        <v>455</v>
      </c>
      <c r="C121" s="54">
        <f t="shared" si="16"/>
        <v>35</v>
      </c>
      <c r="D121" s="54">
        <v>420</v>
      </c>
      <c r="E121" s="55">
        <f t="shared" si="17"/>
        <v>7.6923076923076925</v>
      </c>
      <c r="F121" s="55">
        <f t="shared" si="18"/>
        <v>22.9</v>
      </c>
      <c r="G121" s="56">
        <v>9618</v>
      </c>
      <c r="H121" s="49">
        <f>SUM(Table18!J53:M53)+SUM(Table18!B54:I54)</f>
        <v>1188.221</v>
      </c>
      <c r="I121" s="57">
        <f t="shared" si="19"/>
        <v>12.354138074443751</v>
      </c>
      <c r="J121" s="58">
        <f t="shared" si="20"/>
        <v>2.8290976190476189</v>
      </c>
      <c r="K121" s="89">
        <f>Table18!J54</f>
        <v>2.8359999999999999</v>
      </c>
      <c r="L121" s="89">
        <f t="shared" si="21"/>
        <v>1190.3320000000001</v>
      </c>
      <c r="M121" s="208"/>
      <c r="N121" s="208"/>
      <c r="O121" s="208"/>
    </row>
    <row r="122" spans="1:15" x14ac:dyDescent="0.2">
      <c r="A122" s="33" t="s">
        <v>225</v>
      </c>
      <c r="B122" s="54">
        <v>435</v>
      </c>
      <c r="C122" s="54">
        <f t="shared" si="16"/>
        <v>30</v>
      </c>
      <c r="D122" s="54">
        <v>405</v>
      </c>
      <c r="E122" s="55">
        <f t="shared" si="17"/>
        <v>6.8965517241379306</v>
      </c>
      <c r="F122" s="55">
        <f t="shared" si="18"/>
        <v>27.301234567901236</v>
      </c>
      <c r="G122" s="56">
        <v>11057</v>
      </c>
      <c r="H122" s="49">
        <f>SUM(Table18!J54:M54)+SUM(Table18!B55:I55)</f>
        <v>1282.046</v>
      </c>
      <c r="I122" s="57">
        <f t="shared" si="19"/>
        <v>11.59488107081487</v>
      </c>
      <c r="J122" s="58">
        <f t="shared" si="20"/>
        <v>3.1655456790123457</v>
      </c>
      <c r="K122" s="89">
        <f>Table18!J55</f>
        <v>40.938000000000002</v>
      </c>
      <c r="L122" s="89">
        <f t="shared" si="21"/>
        <v>1320.1480000000001</v>
      </c>
      <c r="M122" s="208"/>
      <c r="N122" s="208"/>
      <c r="O122" s="208"/>
    </row>
    <row r="123" spans="1:15" x14ac:dyDescent="0.2">
      <c r="A123" s="33" t="s">
        <v>226</v>
      </c>
      <c r="B123" s="54">
        <v>420</v>
      </c>
      <c r="C123" s="59">
        <f t="shared" si="16"/>
        <v>30</v>
      </c>
      <c r="D123" s="59">
        <v>390</v>
      </c>
      <c r="E123" s="55">
        <f t="shared" si="17"/>
        <v>7.1428571428571423</v>
      </c>
      <c r="F123" s="55">
        <f t="shared" si="18"/>
        <v>30.4</v>
      </c>
      <c r="G123" s="56">
        <v>11856</v>
      </c>
      <c r="H123" s="49">
        <f>SUM(Table18!J55:M55)+SUM(Table18!B56:I56)</f>
        <v>1487.15</v>
      </c>
      <c r="I123" s="57">
        <f t="shared" si="19"/>
        <v>12.543437921727396</v>
      </c>
      <c r="J123" s="58">
        <f t="shared" si="20"/>
        <v>3.8132051282051282</v>
      </c>
      <c r="K123" s="89">
        <f>Table18!J56</f>
        <v>0</v>
      </c>
      <c r="L123" s="89">
        <f t="shared" si="21"/>
        <v>1446.212</v>
      </c>
      <c r="M123" s="208"/>
      <c r="N123" s="208"/>
      <c r="O123" s="208"/>
    </row>
    <row r="124" spans="1:15" x14ac:dyDescent="0.2">
      <c r="A124" s="33" t="s">
        <v>227</v>
      </c>
      <c r="B124" s="54">
        <v>405</v>
      </c>
      <c r="C124" s="59">
        <f t="shared" si="16"/>
        <v>25</v>
      </c>
      <c r="D124" s="59">
        <v>380</v>
      </c>
      <c r="E124" s="55">
        <f t="shared" si="17"/>
        <v>6.1728395061728394</v>
      </c>
      <c r="F124" s="55">
        <f t="shared" si="18"/>
        <v>28.3</v>
      </c>
      <c r="G124" s="56">
        <v>10754</v>
      </c>
      <c r="H124" s="49">
        <f>SUM(Table18!J56:M56)+SUM(Table18!B57:I57)</f>
        <v>1396.9029999999998</v>
      </c>
      <c r="I124" s="57">
        <f t="shared" si="19"/>
        <v>12.9896131671936</v>
      </c>
      <c r="J124" s="58">
        <f t="shared" si="20"/>
        <v>3.6760605263157888</v>
      </c>
      <c r="K124" s="89">
        <f>Table18!J57</f>
        <v>0</v>
      </c>
      <c r="L124" s="89">
        <f t="shared" si="21"/>
        <v>1396.9029999999998</v>
      </c>
      <c r="M124" s="208"/>
      <c r="N124" s="208"/>
      <c r="O124" s="208"/>
    </row>
    <row r="125" spans="1:15" x14ac:dyDescent="0.2">
      <c r="A125" s="35" t="s">
        <v>228</v>
      </c>
      <c r="B125" s="54">
        <v>425</v>
      </c>
      <c r="C125" s="59">
        <f t="shared" si="16"/>
        <v>35</v>
      </c>
      <c r="D125" s="59">
        <v>390</v>
      </c>
      <c r="E125" s="55">
        <f t="shared" si="17"/>
        <v>8.235294117647058</v>
      </c>
      <c r="F125" s="55">
        <f t="shared" si="18"/>
        <v>32.200000000000003</v>
      </c>
      <c r="G125" s="56">
        <v>12558</v>
      </c>
      <c r="H125" s="49">
        <f>SUM(Table18!J57:M57)+SUM(Table18!B58:I58)</f>
        <v>1453.203</v>
      </c>
      <c r="I125" s="57">
        <f t="shared" si="19"/>
        <v>11.571930243669373</v>
      </c>
      <c r="J125" s="58">
        <f t="shared" si="20"/>
        <v>3.7261615384615383</v>
      </c>
      <c r="K125" s="89">
        <f>Table18!J58</f>
        <v>15.555</v>
      </c>
      <c r="L125" s="89">
        <f t="shared" si="21"/>
        <v>1468.758</v>
      </c>
      <c r="M125" s="208"/>
      <c r="N125" s="208"/>
      <c r="O125" s="208"/>
    </row>
    <row r="126" spans="1:15" x14ac:dyDescent="0.2">
      <c r="A126" s="35" t="s">
        <v>229</v>
      </c>
      <c r="B126" s="54">
        <v>420</v>
      </c>
      <c r="C126" s="59">
        <f t="shared" si="16"/>
        <v>30</v>
      </c>
      <c r="D126" s="59">
        <v>390</v>
      </c>
      <c r="E126" s="55">
        <f t="shared" si="17"/>
        <v>7.1428571428571423</v>
      </c>
      <c r="F126" s="55">
        <f t="shared" si="18"/>
        <v>27.8</v>
      </c>
      <c r="G126" s="56">
        <v>10842</v>
      </c>
      <c r="H126" s="49">
        <f>SUM(Table18!J58:M58)+SUM(Table18!B59:I59)</f>
        <v>1404.9260000000002</v>
      </c>
      <c r="I126" s="57">
        <f t="shared" si="19"/>
        <v>12.958181147389784</v>
      </c>
      <c r="J126" s="58">
        <f t="shared" si="20"/>
        <v>3.6023743589743593</v>
      </c>
      <c r="K126" s="89">
        <f>Table18!J59</f>
        <v>21.803999999999998</v>
      </c>
      <c r="L126" s="89">
        <f t="shared" si="21"/>
        <v>1411.1750000000002</v>
      </c>
      <c r="M126" s="208"/>
      <c r="N126" s="208"/>
      <c r="O126" s="208"/>
    </row>
    <row r="127" spans="1:15" x14ac:dyDescent="0.2">
      <c r="A127" s="35" t="s">
        <v>230</v>
      </c>
      <c r="B127" s="54">
        <v>410</v>
      </c>
      <c r="C127" s="59">
        <f t="shared" si="16"/>
        <v>25</v>
      </c>
      <c r="D127" s="59">
        <v>385</v>
      </c>
      <c r="E127" s="55">
        <f t="shared" si="17"/>
        <v>6.0975609756097562</v>
      </c>
      <c r="F127" s="55">
        <f t="shared" si="18"/>
        <v>27.6</v>
      </c>
      <c r="G127" s="56">
        <v>10626</v>
      </c>
      <c r="H127" s="49">
        <f>SUM(Table18!J59:M59)+SUM(Table18!B60:I60)</f>
        <v>1407.306</v>
      </c>
      <c r="I127" s="57">
        <f t="shared" si="19"/>
        <v>13.243986448334274</v>
      </c>
      <c r="J127" s="58">
        <f t="shared" si="20"/>
        <v>3.6553402597402598</v>
      </c>
      <c r="K127" s="89">
        <f>Table18!J60</f>
        <v>54.212000000000003</v>
      </c>
      <c r="L127" s="89">
        <f t="shared" si="21"/>
        <v>1439.7139999999999</v>
      </c>
      <c r="M127" s="208"/>
      <c r="N127" s="208"/>
      <c r="O127" s="208"/>
    </row>
    <row r="128" spans="1:15" x14ac:dyDescent="0.2">
      <c r="A128" s="35" t="s">
        <v>231</v>
      </c>
      <c r="B128" s="54">
        <v>428</v>
      </c>
      <c r="C128" s="59">
        <f t="shared" si="16"/>
        <v>28</v>
      </c>
      <c r="D128" s="59">
        <v>400</v>
      </c>
      <c r="E128" s="55">
        <f t="shared" si="17"/>
        <v>6.5420560747663545</v>
      </c>
      <c r="F128" s="55">
        <f t="shared" si="18"/>
        <v>33</v>
      </c>
      <c r="G128" s="56">
        <v>13200</v>
      </c>
      <c r="H128" s="49">
        <f>SUM(Table18!J60:M60)+SUM(Table18!B61:I61)</f>
        <v>1724.5619999999999</v>
      </c>
      <c r="I128" s="57">
        <f t="shared" si="19"/>
        <v>13.064863636363636</v>
      </c>
      <c r="J128" s="58">
        <f t="shared" si="20"/>
        <v>4.3114049999999997</v>
      </c>
      <c r="K128" s="89">
        <f>Table18!J61</f>
        <v>15.845000000000001</v>
      </c>
      <c r="L128" s="89">
        <f t="shared" si="21"/>
        <v>1686.1949999999999</v>
      </c>
      <c r="M128" s="208"/>
      <c r="N128" s="208"/>
      <c r="O128" s="208"/>
    </row>
    <row r="129" spans="1:15" x14ac:dyDescent="0.2">
      <c r="A129" s="33" t="s">
        <v>232</v>
      </c>
      <c r="B129" s="54">
        <v>442</v>
      </c>
      <c r="C129" s="59">
        <f t="shared" si="16"/>
        <v>32</v>
      </c>
      <c r="D129" s="59">
        <v>410</v>
      </c>
      <c r="E129" s="55">
        <f t="shared" si="17"/>
        <v>7.2398190045248878</v>
      </c>
      <c r="F129" s="55">
        <f t="shared" si="18"/>
        <v>30.5</v>
      </c>
      <c r="G129" s="56">
        <v>12505</v>
      </c>
      <c r="H129" s="49">
        <f>SUM(Table18!J61:M61)+SUM(Table18!B62:I62)</f>
        <v>1594.7459999999999</v>
      </c>
      <c r="I129" s="57">
        <f t="shared" si="19"/>
        <v>12.752866853258697</v>
      </c>
      <c r="J129" s="58">
        <f t="shared" si="20"/>
        <v>3.8896243902439021</v>
      </c>
      <c r="K129" s="89">
        <f>Table18!J62</f>
        <v>12.32</v>
      </c>
      <c r="L129" s="89">
        <f>H129-K128+K129</f>
        <v>1591.2209999999998</v>
      </c>
      <c r="M129" s="208"/>
      <c r="N129" s="208"/>
      <c r="O129" s="208"/>
    </row>
    <row r="130" spans="1:15" x14ac:dyDescent="0.2">
      <c r="A130" s="60" t="s">
        <v>233</v>
      </c>
      <c r="B130" s="54">
        <v>411</v>
      </c>
      <c r="C130" s="59">
        <f t="shared" si="16"/>
        <v>25</v>
      </c>
      <c r="D130" s="59">
        <v>386</v>
      </c>
      <c r="E130" s="55">
        <f t="shared" si="17"/>
        <v>6.0827250608272507</v>
      </c>
      <c r="F130" s="55">
        <f t="shared" si="18"/>
        <v>29.5</v>
      </c>
      <c r="G130" s="56">
        <v>11387</v>
      </c>
      <c r="H130" s="49">
        <f>SUM(Table18!J62:M62)+SUM(Table18!B63:I63)</f>
        <v>1514.1309999999999</v>
      </c>
      <c r="I130" s="57">
        <f t="shared" si="19"/>
        <v>13.297014138930358</v>
      </c>
      <c r="J130" s="58">
        <f t="shared" si="20"/>
        <v>3.9226191709844556</v>
      </c>
      <c r="K130" s="89">
        <f>Table18!J63</f>
        <v>10.926</v>
      </c>
      <c r="L130" s="89">
        <f t="shared" si="21"/>
        <v>1512.7369999999999</v>
      </c>
      <c r="M130" s="208"/>
      <c r="N130" s="208"/>
      <c r="O130" s="208"/>
    </row>
    <row r="131" spans="1:15" x14ac:dyDescent="0.2">
      <c r="A131" s="60" t="s">
        <v>234</v>
      </c>
      <c r="B131" s="54">
        <v>410</v>
      </c>
      <c r="C131" s="59">
        <f t="shared" si="16"/>
        <v>25</v>
      </c>
      <c r="D131" s="59">
        <v>385</v>
      </c>
      <c r="E131" s="55">
        <f t="shared" si="17"/>
        <v>6.0975609756097562</v>
      </c>
      <c r="F131" s="55">
        <f t="shared" si="18"/>
        <v>29.6</v>
      </c>
      <c r="G131" s="56">
        <v>11396</v>
      </c>
      <c r="H131" s="49">
        <f>SUM(Table18!J63:M63)+SUM(Table18!B64:I64)</f>
        <v>1415.0339999999999</v>
      </c>
      <c r="I131" s="57">
        <f t="shared" si="19"/>
        <v>12.416935766935765</v>
      </c>
      <c r="J131" s="58">
        <f t="shared" si="20"/>
        <v>3.6754129870129866</v>
      </c>
      <c r="K131" s="89">
        <f>Table18!J64</f>
        <v>23.981000000000002</v>
      </c>
      <c r="L131" s="89">
        <f t="shared" si="21"/>
        <v>1428.0889999999999</v>
      </c>
      <c r="M131" s="208"/>
      <c r="N131" s="208"/>
      <c r="O131" s="208"/>
    </row>
    <row r="132" spans="1:15" x14ac:dyDescent="0.2">
      <c r="A132" s="60" t="s">
        <v>235</v>
      </c>
      <c r="B132" s="54">
        <v>431</v>
      </c>
      <c r="C132" s="59">
        <f t="shared" si="16"/>
        <v>31</v>
      </c>
      <c r="D132" s="59">
        <v>400</v>
      </c>
      <c r="E132" s="55">
        <f t="shared" si="17"/>
        <v>7.192575406032482</v>
      </c>
      <c r="F132" s="55">
        <f t="shared" si="18"/>
        <v>28.8</v>
      </c>
      <c r="G132" s="56">
        <v>11520</v>
      </c>
      <c r="H132" s="49">
        <f>SUM(Table18!J64:M64)+SUM(Table18!B65:I65)</f>
        <v>1617.5060000000001</v>
      </c>
      <c r="I132" s="57">
        <f t="shared" si="19"/>
        <v>14.040850694444446</v>
      </c>
      <c r="J132" s="58">
        <f t="shared" si="20"/>
        <v>4.0437650000000005</v>
      </c>
      <c r="K132" s="89">
        <f>Table18!J65</f>
        <v>34.917999999999999</v>
      </c>
      <c r="L132" s="89">
        <f t="shared" si="21"/>
        <v>1628.443</v>
      </c>
      <c r="M132" s="208"/>
      <c r="N132" s="208"/>
      <c r="O132" s="208"/>
    </row>
    <row r="133" spans="1:15" x14ac:dyDescent="0.2">
      <c r="A133" s="60" t="s">
        <v>236</v>
      </c>
      <c r="B133" s="54">
        <v>449.6</v>
      </c>
      <c r="C133" s="59">
        <f t="shared" si="16"/>
        <v>35.600000000000023</v>
      </c>
      <c r="D133" s="59">
        <v>414</v>
      </c>
      <c r="E133" s="55">
        <f t="shared" si="17"/>
        <v>7.9181494661921761</v>
      </c>
      <c r="F133" s="55">
        <f t="shared" si="18"/>
        <v>32.5</v>
      </c>
      <c r="G133" s="56">
        <v>13455</v>
      </c>
      <c r="H133" s="49">
        <f>SUM(Table18!J65:M65)+SUM(Table18!B66:I66)</f>
        <v>1864.828</v>
      </c>
      <c r="I133" s="57">
        <f t="shared" si="19"/>
        <v>13.859739873652918</v>
      </c>
      <c r="J133" s="58">
        <f t="shared" si="20"/>
        <v>4.5044154589371983</v>
      </c>
      <c r="K133" s="89">
        <f>Table18!J66</f>
        <v>31.916</v>
      </c>
      <c r="L133" s="89">
        <f t="shared" si="21"/>
        <v>1861.826</v>
      </c>
      <c r="M133" s="208"/>
      <c r="N133" s="208"/>
      <c r="O133" s="208"/>
    </row>
    <row r="134" spans="1:15" x14ac:dyDescent="0.2">
      <c r="A134" s="60" t="s">
        <v>237</v>
      </c>
      <c r="B134" s="54">
        <v>448.5</v>
      </c>
      <c r="C134" s="59">
        <f t="shared" si="16"/>
        <v>23.5</v>
      </c>
      <c r="D134" s="59">
        <v>425</v>
      </c>
      <c r="E134" s="55">
        <f t="shared" si="17"/>
        <v>5.2396878483835003</v>
      </c>
      <c r="F134" s="55">
        <f t="shared" si="18"/>
        <v>35.301176470588238</v>
      </c>
      <c r="G134" s="56">
        <v>15003</v>
      </c>
      <c r="H134" s="49">
        <f>SUM(Table18!J66:M66)+SUM(Table18!B67:I67)</f>
        <v>1876.2110000000002</v>
      </c>
      <c r="I134" s="57">
        <f t="shared" si="19"/>
        <v>12.505572218889558</v>
      </c>
      <c r="J134" s="58">
        <f t="shared" si="20"/>
        <v>4.4146141176470595</v>
      </c>
      <c r="K134" s="89">
        <f>Table18!J67</f>
        <v>62.953000000000003</v>
      </c>
      <c r="L134" s="89">
        <f t="shared" si="21"/>
        <v>1907.2480000000003</v>
      </c>
      <c r="M134" s="208"/>
      <c r="N134" s="208"/>
      <c r="O134" s="208"/>
    </row>
    <row r="135" spans="1:15" x14ac:dyDescent="0.2">
      <c r="A135" s="60" t="s">
        <v>238</v>
      </c>
      <c r="B135" s="54">
        <v>469</v>
      </c>
      <c r="C135" s="59">
        <f t="shared" si="16"/>
        <v>27</v>
      </c>
      <c r="D135" s="59">
        <v>442</v>
      </c>
      <c r="E135" s="55">
        <f t="shared" si="17"/>
        <v>5.7569296375266523</v>
      </c>
      <c r="F135" s="55">
        <f t="shared" si="18"/>
        <v>27.699095022624434</v>
      </c>
      <c r="G135" s="56">
        <v>12243</v>
      </c>
      <c r="H135" s="49">
        <f>SUM(Table18!J67:M67)+SUM(Table18!B68:I68)</f>
        <v>1558.162</v>
      </c>
      <c r="I135" s="57">
        <f t="shared" si="19"/>
        <v>12.72696234583027</v>
      </c>
      <c r="J135" s="58">
        <f t="shared" si="20"/>
        <v>3.5252533936651584</v>
      </c>
      <c r="K135" s="89">
        <f>Table18!J68</f>
        <v>70.415000000000006</v>
      </c>
      <c r="L135" s="89">
        <f t="shared" si="21"/>
        <v>1565.624</v>
      </c>
      <c r="M135" s="208"/>
      <c r="N135" s="208"/>
      <c r="O135" s="208"/>
    </row>
    <row r="136" spans="1:15" x14ac:dyDescent="0.2">
      <c r="A136" s="60" t="s">
        <v>239</v>
      </c>
      <c r="B136" s="54">
        <v>488.4</v>
      </c>
      <c r="C136" s="59">
        <f t="shared" si="16"/>
        <v>27.399999999999977</v>
      </c>
      <c r="D136" s="59">
        <v>461</v>
      </c>
      <c r="E136" s="55">
        <f t="shared" si="17"/>
        <v>5.6101556101556058</v>
      </c>
      <c r="F136" s="55">
        <f t="shared" si="18"/>
        <v>32.900216919739698</v>
      </c>
      <c r="G136" s="56">
        <v>15167</v>
      </c>
      <c r="H136" s="49">
        <f>SUM(Table18!J68:M68)+SUM(Table18!B69:I69)</f>
        <v>1975.9640000000002</v>
      </c>
      <c r="I136" s="57">
        <f t="shared" si="19"/>
        <v>13.028047735214612</v>
      </c>
      <c r="J136" s="58">
        <f t="shared" si="20"/>
        <v>4.2862559652928418</v>
      </c>
      <c r="K136" s="89">
        <f>Table18!J69</f>
        <v>12.266</v>
      </c>
      <c r="L136" s="89">
        <f t="shared" si="21"/>
        <v>1917.8150000000003</v>
      </c>
      <c r="M136" s="208"/>
      <c r="N136" s="208"/>
      <c r="O136" s="208"/>
    </row>
    <row r="137" spans="1:15" x14ac:dyDescent="0.2">
      <c r="A137" s="60" t="s">
        <v>350</v>
      </c>
      <c r="B137" s="54">
        <v>495.3</v>
      </c>
      <c r="C137" s="59">
        <f t="shared" si="16"/>
        <v>29.300000000000011</v>
      </c>
      <c r="D137" s="59">
        <v>466</v>
      </c>
      <c r="E137" s="55">
        <f t="shared" si="17"/>
        <v>5.9156067030082795</v>
      </c>
      <c r="F137" s="55">
        <f t="shared" si="18"/>
        <v>29</v>
      </c>
      <c r="G137" s="56">
        <v>13514</v>
      </c>
      <c r="H137" s="49">
        <f>SUM(Table18!J69:M69)+SUM(Table18!B70:I70)</f>
        <v>1880.904</v>
      </c>
      <c r="I137" s="57">
        <f t="shared" si="19"/>
        <v>13.918188545212374</v>
      </c>
      <c r="J137" s="58">
        <f t="shared" si="20"/>
        <v>4.0362746781115879</v>
      </c>
      <c r="K137" s="89">
        <f>Table18!J70</f>
        <v>75.067999999999998</v>
      </c>
      <c r="L137" s="89">
        <f t="shared" si="21"/>
        <v>1943.7059999999999</v>
      </c>
      <c r="M137" s="208"/>
      <c r="N137" s="208"/>
      <c r="O137" s="208"/>
    </row>
    <row r="138" spans="1:15" x14ac:dyDescent="0.2">
      <c r="A138" s="60" t="s">
        <v>381</v>
      </c>
      <c r="B138" s="54">
        <v>497.1</v>
      </c>
      <c r="C138" s="59">
        <f t="shared" si="16"/>
        <v>23.100000000000023</v>
      </c>
      <c r="D138" s="59">
        <v>474</v>
      </c>
      <c r="E138" s="55">
        <f>C138/B138*100</f>
        <v>4.6469523234761656</v>
      </c>
      <c r="F138" s="55">
        <f t="shared" si="18"/>
        <v>32.099156118143462</v>
      </c>
      <c r="G138" s="56">
        <v>15215</v>
      </c>
      <c r="H138" s="49">
        <f>SUM(Table18!J70:M70)+SUM(Table18!B71:I71)</f>
        <v>2070.81</v>
      </c>
      <c r="I138" s="57">
        <f>H138/G138*100</f>
        <v>13.610318764377258</v>
      </c>
      <c r="J138" s="58">
        <f>H138/D138</f>
        <v>4.3687974683544306</v>
      </c>
      <c r="K138" s="89">
        <f>Table18!J71</f>
        <v>5.6230000000000002</v>
      </c>
      <c r="L138" s="89">
        <f t="shared" si="21"/>
        <v>2001.365</v>
      </c>
      <c r="M138" s="208"/>
      <c r="N138" s="208"/>
      <c r="O138" s="208"/>
    </row>
    <row r="139" spans="1:15" x14ac:dyDescent="0.2">
      <c r="A139" s="60" t="s">
        <v>378</v>
      </c>
      <c r="B139" s="54">
        <v>505.5</v>
      </c>
      <c r="C139" s="59">
        <f t="shared" si="16"/>
        <v>24.5</v>
      </c>
      <c r="D139" s="59">
        <v>481</v>
      </c>
      <c r="E139" s="55">
        <f>C139/B139*100</f>
        <v>4.8466864490603365</v>
      </c>
      <c r="F139" s="55">
        <f t="shared" si="18"/>
        <v>29.900207900207899</v>
      </c>
      <c r="G139" s="56">
        <v>14382</v>
      </c>
      <c r="H139" s="49">
        <f>SUM(Table18!J71:M71)+SUM(Table18!B72:I72)</f>
        <v>1904.0979999999997</v>
      </c>
      <c r="I139" s="57">
        <f>H139/G139*100</f>
        <v>13.239452092893893</v>
      </c>
      <c r="J139" s="58">
        <f>H139/D139</f>
        <v>3.9586237006237002</v>
      </c>
      <c r="K139" s="89">
        <f>Table18!J72</f>
        <v>117.28</v>
      </c>
      <c r="L139" s="89">
        <f t="shared" si="21"/>
        <v>2015.7549999999997</v>
      </c>
      <c r="M139" s="208"/>
      <c r="N139" s="208"/>
      <c r="O139" s="208"/>
    </row>
    <row r="140" spans="1:15" x14ac:dyDescent="0.2">
      <c r="A140" s="60" t="s">
        <v>380</v>
      </c>
      <c r="B140" s="54">
        <v>519.4</v>
      </c>
      <c r="C140" s="59">
        <f t="shared" si="16"/>
        <v>24.399999999999977</v>
      </c>
      <c r="D140" s="59">
        <v>495</v>
      </c>
      <c r="E140" s="55">
        <f>C140/B140*100</f>
        <v>4.6977281478629145</v>
      </c>
      <c r="F140" s="55">
        <v>31.2</v>
      </c>
      <c r="G140" s="56">
        <f>D140*F140</f>
        <v>15444</v>
      </c>
      <c r="H140" s="49">
        <v>2076.0239999999999</v>
      </c>
      <c r="I140" s="57">
        <f>H140/G140*100</f>
        <v>13.442268842268842</v>
      </c>
      <c r="J140" s="58">
        <f>H140/D140</f>
        <v>4.1939878787878788</v>
      </c>
      <c r="K140" s="207">
        <f>(SUM(K134:K139)-MAX(K134:K139)-MIN(K134:K139))/4</f>
        <v>55.175500000000007</v>
      </c>
      <c r="L140" s="89">
        <f>H140-K139+K140</f>
        <v>2013.9195</v>
      </c>
    </row>
    <row r="141" spans="1:15" x14ac:dyDescent="0.2">
      <c r="A141" s="60"/>
      <c r="B141" s="54"/>
      <c r="C141" s="59"/>
      <c r="D141" s="59"/>
      <c r="E141" s="55"/>
      <c r="F141" s="55"/>
      <c r="G141" s="56"/>
      <c r="H141" s="49"/>
      <c r="I141" s="57"/>
      <c r="J141" s="58"/>
    </row>
    <row r="142" spans="1:15" x14ac:dyDescent="0.2">
      <c r="A142" s="35" t="s">
        <v>383</v>
      </c>
      <c r="E142" s="55"/>
      <c r="F142" s="55"/>
      <c r="G142" s="62"/>
      <c r="H142" s="49"/>
      <c r="I142" s="58"/>
      <c r="J142" s="58"/>
    </row>
    <row r="143" spans="1:15" x14ac:dyDescent="0.2">
      <c r="A143" s="33" t="s">
        <v>199</v>
      </c>
      <c r="B143" s="54">
        <v>35</v>
      </c>
      <c r="C143" s="54">
        <f t="shared" ref="C143:C155" si="22">B143-D143</f>
        <v>1.5</v>
      </c>
      <c r="D143" s="54">
        <v>33.5</v>
      </c>
      <c r="E143" s="55">
        <f t="shared" ref="E143:E155" si="23">100*C143/B143</f>
        <v>4.2857142857142856</v>
      </c>
      <c r="F143" s="55">
        <f t="shared" ref="F143:F158" si="24">G143/D143</f>
        <v>28.925373134328357</v>
      </c>
      <c r="G143" s="56">
        <v>969</v>
      </c>
      <c r="H143" s="49">
        <v>93</v>
      </c>
      <c r="I143" s="57">
        <f t="shared" ref="I143:I155" si="25">100*H143/G143</f>
        <v>9.5975232198142422</v>
      </c>
      <c r="J143" s="58">
        <f t="shared" ref="J143:J185" si="26">H143/D143</f>
        <v>2.7761194029850746</v>
      </c>
      <c r="K143" s="124" t="s">
        <v>152</v>
      </c>
      <c r="L143" s="124" t="s">
        <v>152</v>
      </c>
    </row>
    <row r="144" spans="1:15" x14ac:dyDescent="0.2">
      <c r="A144" s="33" t="s">
        <v>200</v>
      </c>
      <c r="B144" s="54">
        <v>37.4</v>
      </c>
      <c r="C144" s="54">
        <f t="shared" si="22"/>
        <v>0.79999999999999716</v>
      </c>
      <c r="D144" s="54">
        <v>36.6</v>
      </c>
      <c r="E144" s="55">
        <f t="shared" si="23"/>
        <v>2.1390374331550728</v>
      </c>
      <c r="F144" s="55">
        <f t="shared" si="24"/>
        <v>31.530054644808743</v>
      </c>
      <c r="G144" s="56">
        <v>1154</v>
      </c>
      <c r="H144" s="49">
        <v>110</v>
      </c>
      <c r="I144" s="57">
        <f t="shared" si="25"/>
        <v>9.5320623916811087</v>
      </c>
      <c r="J144" s="58">
        <f t="shared" si="26"/>
        <v>3.0054644808743167</v>
      </c>
      <c r="K144" s="124" t="s">
        <v>152</v>
      </c>
      <c r="L144" s="124" t="s">
        <v>152</v>
      </c>
    </row>
    <row r="145" spans="1:12" x14ac:dyDescent="0.2">
      <c r="A145" s="33" t="s">
        <v>201</v>
      </c>
      <c r="B145" s="54">
        <v>36.700000000000003</v>
      </c>
      <c r="C145" s="54">
        <f t="shared" si="22"/>
        <v>1</v>
      </c>
      <c r="D145" s="54">
        <v>35.700000000000003</v>
      </c>
      <c r="E145" s="55">
        <f t="shared" si="23"/>
        <v>2.7247956403269753</v>
      </c>
      <c r="F145" s="55">
        <f t="shared" si="24"/>
        <v>30.952380952380949</v>
      </c>
      <c r="G145" s="56">
        <v>1105</v>
      </c>
      <c r="H145" s="49">
        <v>98</v>
      </c>
      <c r="I145" s="57">
        <f t="shared" si="25"/>
        <v>8.8687782805429869</v>
      </c>
      <c r="J145" s="58">
        <f t="shared" si="26"/>
        <v>2.7450980392156858</v>
      </c>
      <c r="K145" s="124" t="s">
        <v>152</v>
      </c>
      <c r="L145" s="124" t="s">
        <v>152</v>
      </c>
    </row>
    <row r="146" spans="1:12" x14ac:dyDescent="0.2">
      <c r="A146" s="33" t="s">
        <v>202</v>
      </c>
      <c r="B146" s="54">
        <v>35.5</v>
      </c>
      <c r="C146" s="54">
        <f t="shared" si="22"/>
        <v>1</v>
      </c>
      <c r="D146" s="54">
        <v>34.5</v>
      </c>
      <c r="E146" s="55">
        <f t="shared" si="23"/>
        <v>2.816901408450704</v>
      </c>
      <c r="F146" s="55">
        <f t="shared" si="24"/>
        <v>31.739130434782609</v>
      </c>
      <c r="G146" s="56">
        <v>1095</v>
      </c>
      <c r="H146" s="49">
        <v>60</v>
      </c>
      <c r="I146" s="57">
        <f t="shared" si="25"/>
        <v>5.4794520547945202</v>
      </c>
      <c r="J146" s="58">
        <f t="shared" si="26"/>
        <v>1.7391304347826086</v>
      </c>
      <c r="K146" s="124" t="s">
        <v>152</v>
      </c>
      <c r="L146" s="124" t="s">
        <v>152</v>
      </c>
    </row>
    <row r="147" spans="1:12" x14ac:dyDescent="0.2">
      <c r="A147" s="33" t="s">
        <v>203</v>
      </c>
      <c r="B147" s="54">
        <v>35.1</v>
      </c>
      <c r="C147" s="54">
        <f t="shared" si="22"/>
        <v>0.80000000000000426</v>
      </c>
      <c r="D147" s="54">
        <v>34.299999999999997</v>
      </c>
      <c r="E147" s="55">
        <f t="shared" si="23"/>
        <v>2.2792022792022912</v>
      </c>
      <c r="F147" s="55">
        <f t="shared" si="24"/>
        <v>27.900874635568517</v>
      </c>
      <c r="G147" s="56">
        <v>957</v>
      </c>
      <c r="H147" s="49">
        <v>81</v>
      </c>
      <c r="I147" s="57">
        <f t="shared" si="25"/>
        <v>8.4639498432601883</v>
      </c>
      <c r="J147" s="58">
        <f t="shared" si="26"/>
        <v>2.361516034985423</v>
      </c>
      <c r="K147" s="124" t="s">
        <v>152</v>
      </c>
      <c r="L147" s="124" t="s">
        <v>152</v>
      </c>
    </row>
    <row r="148" spans="1:12" x14ac:dyDescent="0.2">
      <c r="A148" s="33" t="s">
        <v>204</v>
      </c>
      <c r="B148" s="54">
        <v>31.9</v>
      </c>
      <c r="C148" s="54">
        <f t="shared" si="22"/>
        <v>1.5</v>
      </c>
      <c r="D148" s="54">
        <v>30.4</v>
      </c>
      <c r="E148" s="55">
        <f t="shared" si="23"/>
        <v>4.7021943573667713</v>
      </c>
      <c r="F148" s="55">
        <f t="shared" si="24"/>
        <v>30.131578947368421</v>
      </c>
      <c r="G148" s="56">
        <v>916</v>
      </c>
      <c r="H148" s="49">
        <v>76</v>
      </c>
      <c r="I148" s="57">
        <f t="shared" si="25"/>
        <v>8.2969432314410483</v>
      </c>
      <c r="J148" s="58">
        <f t="shared" si="26"/>
        <v>2.5</v>
      </c>
      <c r="K148" s="124" t="s">
        <v>152</v>
      </c>
      <c r="L148" s="124" t="s">
        <v>152</v>
      </c>
    </row>
    <row r="149" spans="1:12" x14ac:dyDescent="0.2">
      <c r="A149" s="33" t="s">
        <v>205</v>
      </c>
      <c r="B149" s="54">
        <v>31</v>
      </c>
      <c r="C149" s="54">
        <f t="shared" si="22"/>
        <v>1.8999999999999986</v>
      </c>
      <c r="D149" s="54">
        <v>29.1</v>
      </c>
      <c r="E149" s="55">
        <f t="shared" si="23"/>
        <v>6.1290322580645116</v>
      </c>
      <c r="F149" s="55">
        <f t="shared" si="24"/>
        <v>29.93127147766323</v>
      </c>
      <c r="G149" s="56">
        <v>871</v>
      </c>
      <c r="H149" s="49">
        <v>91</v>
      </c>
      <c r="I149" s="57">
        <f t="shared" si="25"/>
        <v>10.447761194029852</v>
      </c>
      <c r="J149" s="58">
        <f t="shared" si="26"/>
        <v>3.127147766323024</v>
      </c>
      <c r="K149" s="124" t="s">
        <v>152</v>
      </c>
      <c r="L149" s="124" t="s">
        <v>152</v>
      </c>
    </row>
    <row r="150" spans="1:12" x14ac:dyDescent="0.2">
      <c r="A150" s="33" t="s">
        <v>206</v>
      </c>
      <c r="B150" s="54">
        <v>35.1</v>
      </c>
      <c r="C150" s="54">
        <f t="shared" si="22"/>
        <v>1.3000000000000043</v>
      </c>
      <c r="D150" s="54">
        <v>33.799999999999997</v>
      </c>
      <c r="E150" s="55">
        <f t="shared" si="23"/>
        <v>3.7037037037037157</v>
      </c>
      <c r="F150" s="55">
        <f t="shared" si="24"/>
        <v>31.124260355029588</v>
      </c>
      <c r="G150" s="56">
        <v>1052</v>
      </c>
      <c r="H150" s="49">
        <v>106</v>
      </c>
      <c r="I150" s="57">
        <f t="shared" si="25"/>
        <v>10.076045627376425</v>
      </c>
      <c r="J150" s="58">
        <f t="shared" si="26"/>
        <v>3.1360946745562135</v>
      </c>
      <c r="K150" s="124" t="s">
        <v>152</v>
      </c>
      <c r="L150" s="124" t="s">
        <v>152</v>
      </c>
    </row>
    <row r="151" spans="1:12" x14ac:dyDescent="0.2">
      <c r="A151" s="33" t="s">
        <v>207</v>
      </c>
      <c r="B151" s="54">
        <v>33.200000000000003</v>
      </c>
      <c r="C151" s="54">
        <f t="shared" si="22"/>
        <v>1.5000000000000036</v>
      </c>
      <c r="D151" s="54">
        <v>31.7</v>
      </c>
      <c r="E151" s="55">
        <f t="shared" si="23"/>
        <v>4.5180722891566365</v>
      </c>
      <c r="F151" s="55">
        <f t="shared" si="24"/>
        <v>33.343848580441644</v>
      </c>
      <c r="G151" s="56">
        <v>1057</v>
      </c>
      <c r="H151" s="49">
        <v>107</v>
      </c>
      <c r="I151" s="57">
        <f t="shared" si="25"/>
        <v>10.122989593188269</v>
      </c>
      <c r="J151" s="58">
        <f t="shared" si="26"/>
        <v>3.3753943217665614</v>
      </c>
      <c r="K151" s="124" t="s">
        <v>152</v>
      </c>
      <c r="L151" s="124" t="s">
        <v>152</v>
      </c>
    </row>
    <row r="152" spans="1:12" x14ac:dyDescent="0.2">
      <c r="A152" s="33" t="s">
        <v>208</v>
      </c>
      <c r="B152" s="54">
        <v>35.5</v>
      </c>
      <c r="C152" s="54">
        <f t="shared" si="22"/>
        <v>1.8999999999999986</v>
      </c>
      <c r="D152" s="54">
        <v>33.6</v>
      </c>
      <c r="E152" s="55">
        <f t="shared" si="23"/>
        <v>5.3521126760563345</v>
      </c>
      <c r="F152" s="55">
        <f t="shared" si="24"/>
        <v>24.702380952380953</v>
      </c>
      <c r="G152" s="56">
        <v>830</v>
      </c>
      <c r="H152" s="49">
        <v>69</v>
      </c>
      <c r="I152" s="57">
        <f t="shared" si="25"/>
        <v>8.3132530120481931</v>
      </c>
      <c r="J152" s="58">
        <f t="shared" si="26"/>
        <v>2.0535714285714284</v>
      </c>
      <c r="K152" s="124" t="s">
        <v>152</v>
      </c>
      <c r="L152" s="124" t="s">
        <v>152</v>
      </c>
    </row>
    <row r="153" spans="1:12" x14ac:dyDescent="0.2">
      <c r="A153" s="33" t="s">
        <v>209</v>
      </c>
      <c r="B153" s="54">
        <v>36.200000000000003</v>
      </c>
      <c r="C153" s="54">
        <f t="shared" si="22"/>
        <v>1.8000000000000043</v>
      </c>
      <c r="D153" s="54">
        <v>34.4</v>
      </c>
      <c r="E153" s="55">
        <f t="shared" si="23"/>
        <v>4.9723756906077465</v>
      </c>
      <c r="F153" s="55">
        <f t="shared" si="24"/>
        <v>26.540697674418606</v>
      </c>
      <c r="G153" s="56">
        <v>913</v>
      </c>
      <c r="H153" s="49">
        <v>88</v>
      </c>
      <c r="I153" s="57">
        <f t="shared" si="25"/>
        <v>9.6385542168674707</v>
      </c>
      <c r="J153" s="58">
        <f t="shared" si="26"/>
        <v>2.558139534883721</v>
      </c>
      <c r="K153" s="124" t="s">
        <v>152</v>
      </c>
      <c r="L153" s="124" t="s">
        <v>152</v>
      </c>
    </row>
    <row r="154" spans="1:12" x14ac:dyDescent="0.2">
      <c r="A154" s="33" t="s">
        <v>210</v>
      </c>
      <c r="B154" s="54">
        <v>34.9</v>
      </c>
      <c r="C154" s="54">
        <f t="shared" si="22"/>
        <v>1.6999999999999957</v>
      </c>
      <c r="D154" s="54">
        <v>33.200000000000003</v>
      </c>
      <c r="E154" s="55">
        <f t="shared" si="23"/>
        <v>4.8710601719197584</v>
      </c>
      <c r="F154" s="55">
        <f t="shared" si="24"/>
        <v>32.409638554216862</v>
      </c>
      <c r="G154" s="56">
        <v>1076</v>
      </c>
      <c r="H154" s="49">
        <v>109.3</v>
      </c>
      <c r="I154" s="57">
        <f t="shared" si="25"/>
        <v>10.157992565055762</v>
      </c>
      <c r="J154" s="58">
        <f t="shared" si="26"/>
        <v>3.2921686746987948</v>
      </c>
      <c r="K154" s="124" t="s">
        <v>152</v>
      </c>
      <c r="L154" s="124" t="s">
        <v>152</v>
      </c>
    </row>
    <row r="155" spans="1:12" x14ac:dyDescent="0.2">
      <c r="A155" s="33" t="s">
        <v>211</v>
      </c>
      <c r="B155" s="54">
        <v>39.299999999999997</v>
      </c>
      <c r="C155" s="54">
        <f t="shared" si="22"/>
        <v>1.5999999999999943</v>
      </c>
      <c r="D155" s="54">
        <v>37.700000000000003</v>
      </c>
      <c r="E155" s="55">
        <f t="shared" si="23"/>
        <v>4.0712468193384082</v>
      </c>
      <c r="F155" s="55">
        <f t="shared" si="24"/>
        <v>34.217506631299734</v>
      </c>
      <c r="G155" s="56">
        <v>1290</v>
      </c>
      <c r="H155" s="49">
        <v>137.69999999999999</v>
      </c>
      <c r="I155" s="57">
        <f t="shared" si="25"/>
        <v>10.674418604651162</v>
      </c>
      <c r="J155" s="58">
        <f t="shared" si="26"/>
        <v>3.6525198938992038</v>
      </c>
      <c r="K155" s="124" t="s">
        <v>152</v>
      </c>
      <c r="L155" s="124" t="s">
        <v>152</v>
      </c>
    </row>
    <row r="156" spans="1:12" x14ac:dyDescent="0.2">
      <c r="A156" s="33" t="s">
        <v>212</v>
      </c>
      <c r="B156" s="54">
        <v>44.4</v>
      </c>
      <c r="C156" s="54">
        <v>0.9</v>
      </c>
      <c r="D156" s="54">
        <v>43.5</v>
      </c>
      <c r="E156" s="55">
        <f t="shared" ref="E156:E186" si="27">C156/B156*100</f>
        <v>2.0270270270270272</v>
      </c>
      <c r="F156" s="55">
        <f t="shared" si="24"/>
        <v>32.505747126436781</v>
      </c>
      <c r="G156" s="56">
        <v>1414</v>
      </c>
      <c r="H156" s="49">
        <v>146.4</v>
      </c>
      <c r="I156" s="57">
        <f t="shared" ref="I156:I182" si="28">H156/G156*100</f>
        <v>10.353606789250353</v>
      </c>
      <c r="J156" s="58">
        <f t="shared" si="26"/>
        <v>3.3655172413793104</v>
      </c>
      <c r="K156" s="124" t="s">
        <v>152</v>
      </c>
      <c r="L156" s="124" t="s">
        <v>152</v>
      </c>
    </row>
    <row r="157" spans="1:12" x14ac:dyDescent="0.2">
      <c r="A157" s="33" t="s">
        <v>213</v>
      </c>
      <c r="B157" s="54">
        <v>43.5</v>
      </c>
      <c r="C157" s="54">
        <v>1.1000000000000001</v>
      </c>
      <c r="D157" s="54">
        <f>B157-C157</f>
        <v>42.4</v>
      </c>
      <c r="E157" s="55">
        <f t="shared" si="27"/>
        <v>2.5287356321839085</v>
      </c>
      <c r="F157" s="55">
        <f t="shared" si="24"/>
        <v>31.509433962264151</v>
      </c>
      <c r="G157" s="56">
        <v>1336</v>
      </c>
      <c r="H157" s="49">
        <v>144</v>
      </c>
      <c r="I157" s="57">
        <f t="shared" si="28"/>
        <v>10.778443113772456</v>
      </c>
      <c r="J157" s="58">
        <f t="shared" si="26"/>
        <v>3.3962264150943398</v>
      </c>
      <c r="K157" s="124" t="s">
        <v>152</v>
      </c>
      <c r="L157" s="124" t="s">
        <v>152</v>
      </c>
    </row>
    <row r="158" spans="1:12" x14ac:dyDescent="0.2">
      <c r="A158" s="33" t="s">
        <v>214</v>
      </c>
      <c r="B158" s="54">
        <v>42.3</v>
      </c>
      <c r="C158" s="54">
        <v>1.1000000000000001</v>
      </c>
      <c r="D158" s="54">
        <f>B158-C158</f>
        <v>41.199999999999996</v>
      </c>
      <c r="E158" s="55">
        <f t="shared" si="27"/>
        <v>2.6004728132387709</v>
      </c>
      <c r="F158" s="55">
        <f t="shared" si="24"/>
        <v>32.402912621359228</v>
      </c>
      <c r="G158" s="56">
        <v>1335</v>
      </c>
      <c r="H158" s="49">
        <v>134.09100000000001</v>
      </c>
      <c r="I158" s="57">
        <f t="shared" si="28"/>
        <v>10.044269662921348</v>
      </c>
      <c r="J158" s="58">
        <f t="shared" si="26"/>
        <v>3.2546359223300976</v>
      </c>
      <c r="K158" s="124" t="s">
        <v>152</v>
      </c>
      <c r="L158" s="124" t="s">
        <v>152</v>
      </c>
    </row>
    <row r="159" spans="1:12" x14ac:dyDescent="0.2">
      <c r="A159" s="33" t="s">
        <v>215</v>
      </c>
      <c r="B159" s="54">
        <v>34.9</v>
      </c>
      <c r="C159" s="54">
        <f>B159-D159</f>
        <v>0.29999999999999716</v>
      </c>
      <c r="D159" s="54">
        <v>34.6</v>
      </c>
      <c r="E159" s="55">
        <f t="shared" si="27"/>
        <v>0.85959885386818669</v>
      </c>
      <c r="F159" s="55">
        <v>28.7</v>
      </c>
      <c r="G159" s="56">
        <v>993</v>
      </c>
      <c r="H159" s="49">
        <v>90.974999999999994</v>
      </c>
      <c r="I159" s="57">
        <f t="shared" si="28"/>
        <v>9.1616314199395763</v>
      </c>
      <c r="J159" s="58">
        <f t="shared" si="26"/>
        <v>2.6293352601156066</v>
      </c>
      <c r="K159" s="124" t="s">
        <v>152</v>
      </c>
      <c r="L159" s="124" t="s">
        <v>152</v>
      </c>
    </row>
    <row r="160" spans="1:12" x14ac:dyDescent="0.2">
      <c r="A160" s="33" t="s">
        <v>216</v>
      </c>
      <c r="B160" s="54">
        <f>C160+D160</f>
        <v>29.8</v>
      </c>
      <c r="C160" s="54">
        <v>2.5</v>
      </c>
      <c r="D160" s="54">
        <v>27.3</v>
      </c>
      <c r="E160" s="55">
        <f t="shared" si="27"/>
        <v>8.3892617449664435</v>
      </c>
      <c r="F160" s="55">
        <f t="shared" ref="F160:F186" si="29">G160/D160</f>
        <v>30.293040293040292</v>
      </c>
      <c r="G160" s="56">
        <v>827</v>
      </c>
      <c r="H160" s="49">
        <v>79.569000000000003</v>
      </c>
      <c r="I160" s="57">
        <f t="shared" si="28"/>
        <v>9.6214026602176546</v>
      </c>
      <c r="J160" s="58">
        <f t="shared" si="26"/>
        <v>2.9146153846153848</v>
      </c>
      <c r="K160" s="124" t="s">
        <v>152</v>
      </c>
      <c r="L160" s="124" t="s">
        <v>152</v>
      </c>
    </row>
    <row r="161" spans="1:12" x14ac:dyDescent="0.2">
      <c r="A161" s="33" t="s">
        <v>217</v>
      </c>
      <c r="B161" s="54">
        <v>32.6</v>
      </c>
      <c r="C161" s="54">
        <v>0.6</v>
      </c>
      <c r="D161" s="54">
        <v>32</v>
      </c>
      <c r="E161" s="55">
        <f t="shared" si="27"/>
        <v>1.8404907975460121</v>
      </c>
      <c r="F161" s="55">
        <f t="shared" si="29"/>
        <v>32.90625</v>
      </c>
      <c r="G161" s="56">
        <v>1053</v>
      </c>
      <c r="H161" s="49">
        <v>106.187</v>
      </c>
      <c r="I161" s="57">
        <f t="shared" si="28"/>
        <v>10.08423551756885</v>
      </c>
      <c r="J161" s="58">
        <f t="shared" si="26"/>
        <v>3.3183437499999999</v>
      </c>
      <c r="K161" s="124" t="s">
        <v>152</v>
      </c>
      <c r="L161" s="124" t="s">
        <v>152</v>
      </c>
    </row>
    <row r="162" spans="1:12" x14ac:dyDescent="0.2">
      <c r="A162" s="33" t="s">
        <v>291</v>
      </c>
      <c r="B162" s="54">
        <v>31</v>
      </c>
      <c r="C162" s="54">
        <v>3</v>
      </c>
      <c r="D162" s="54">
        <v>28</v>
      </c>
      <c r="E162" s="55">
        <f t="shared" si="27"/>
        <v>9.67741935483871</v>
      </c>
      <c r="F162" s="55">
        <f t="shared" si="29"/>
        <v>34.107142857142854</v>
      </c>
      <c r="G162" s="56">
        <v>955</v>
      </c>
      <c r="H162" s="49">
        <v>105.137</v>
      </c>
      <c r="I162" s="57">
        <f t="shared" si="28"/>
        <v>11.009109947643978</v>
      </c>
      <c r="J162" s="58">
        <f t="shared" si="26"/>
        <v>3.754892857142857</v>
      </c>
      <c r="K162" s="124" t="s">
        <v>152</v>
      </c>
      <c r="L162" s="124" t="s">
        <v>152</v>
      </c>
    </row>
    <row r="163" spans="1:12" x14ac:dyDescent="0.2">
      <c r="A163" s="33" t="s">
        <v>292</v>
      </c>
      <c r="B163" s="54">
        <v>46.3</v>
      </c>
      <c r="C163" s="54">
        <v>0.8</v>
      </c>
      <c r="D163" s="54">
        <f>B163-C163</f>
        <v>45.5</v>
      </c>
      <c r="E163" s="55">
        <f t="shared" si="27"/>
        <v>1.7278617710583155</v>
      </c>
      <c r="F163" s="55">
        <f t="shared" si="29"/>
        <v>38.791208791208788</v>
      </c>
      <c r="G163" s="56">
        <v>1765</v>
      </c>
      <c r="H163" s="49">
        <v>206.09199999999998</v>
      </c>
      <c r="I163" s="57">
        <f t="shared" si="28"/>
        <v>11.676600566572237</v>
      </c>
      <c r="J163" s="58">
        <f t="shared" si="26"/>
        <v>4.5294945054945055</v>
      </c>
      <c r="K163" s="124" t="s">
        <v>152</v>
      </c>
      <c r="L163" s="124" t="s">
        <v>152</v>
      </c>
    </row>
    <row r="164" spans="1:12" x14ac:dyDescent="0.2">
      <c r="A164" s="33" t="s">
        <v>293</v>
      </c>
      <c r="B164" s="54">
        <v>47</v>
      </c>
      <c r="C164" s="54">
        <f t="shared" ref="C164:C186" si="30">B164-D164</f>
        <v>1</v>
      </c>
      <c r="D164" s="54">
        <v>46</v>
      </c>
      <c r="E164" s="55">
        <f t="shared" si="27"/>
        <v>2.1276595744680851</v>
      </c>
      <c r="F164" s="55">
        <f t="shared" si="29"/>
        <v>42.108695652173914</v>
      </c>
      <c r="G164" s="56">
        <v>1937</v>
      </c>
      <c r="H164" s="49">
        <v>173.76</v>
      </c>
      <c r="I164" s="57">
        <f t="shared" si="28"/>
        <v>8.9705730511099624</v>
      </c>
      <c r="J164" s="58">
        <f t="shared" si="26"/>
        <v>3.7773913043478258</v>
      </c>
      <c r="K164" s="124" t="s">
        <v>152</v>
      </c>
      <c r="L164" s="124" t="s">
        <v>152</v>
      </c>
    </row>
    <row r="165" spans="1:12" x14ac:dyDescent="0.2">
      <c r="A165" s="33" t="s">
        <v>294</v>
      </c>
      <c r="B165" s="54">
        <v>44.5</v>
      </c>
      <c r="C165" s="54">
        <f t="shared" si="30"/>
        <v>0.89999999999999858</v>
      </c>
      <c r="D165" s="54">
        <v>43.6</v>
      </c>
      <c r="E165" s="55">
        <f t="shared" si="27"/>
        <v>2.0224719101123565</v>
      </c>
      <c r="F165" s="55">
        <f t="shared" si="29"/>
        <v>39.105504587155963</v>
      </c>
      <c r="G165" s="56">
        <v>1705</v>
      </c>
      <c r="H165" s="49">
        <v>190.98500000000001</v>
      </c>
      <c r="I165" s="57">
        <f t="shared" si="28"/>
        <v>11.201466275659824</v>
      </c>
      <c r="J165" s="58">
        <f t="shared" si="26"/>
        <v>4.3803899082568805</v>
      </c>
      <c r="K165" s="124" t="s">
        <v>152</v>
      </c>
      <c r="L165" s="124" t="s">
        <v>152</v>
      </c>
    </row>
    <row r="166" spans="1:12" x14ac:dyDescent="0.2">
      <c r="A166" s="35" t="s">
        <v>222</v>
      </c>
      <c r="B166" s="54">
        <v>43</v>
      </c>
      <c r="C166" s="54">
        <f t="shared" si="30"/>
        <v>1.2999999999999972</v>
      </c>
      <c r="D166" s="54">
        <v>41.7</v>
      </c>
      <c r="E166" s="55">
        <f t="shared" si="27"/>
        <v>3.0232558139534818</v>
      </c>
      <c r="F166" s="55">
        <f t="shared" si="29"/>
        <v>39.688249400479613</v>
      </c>
      <c r="G166" s="56">
        <v>1655</v>
      </c>
      <c r="H166" s="49">
        <v>175.053</v>
      </c>
      <c r="I166" s="57">
        <f t="shared" si="28"/>
        <v>10.577220543806646</v>
      </c>
      <c r="J166" s="58">
        <f t="shared" si="26"/>
        <v>4.1979136690647483</v>
      </c>
      <c r="K166" s="124" t="s">
        <v>152</v>
      </c>
      <c r="L166" s="124" t="s">
        <v>152</v>
      </c>
    </row>
    <row r="167" spans="1:12" x14ac:dyDescent="0.2">
      <c r="A167" s="35" t="s">
        <v>223</v>
      </c>
      <c r="B167" s="54">
        <v>44</v>
      </c>
      <c r="C167" s="54">
        <f t="shared" si="30"/>
        <v>1.2999999999999972</v>
      </c>
      <c r="D167" s="54">
        <v>42.7</v>
      </c>
      <c r="E167" s="55">
        <f t="shared" si="27"/>
        <v>2.9545454545454484</v>
      </c>
      <c r="F167" s="55">
        <f t="shared" si="29"/>
        <v>37.306791569086649</v>
      </c>
      <c r="G167" s="56">
        <v>1593</v>
      </c>
      <c r="H167" s="49">
        <v>157.95400000000001</v>
      </c>
      <c r="I167" s="57">
        <f t="shared" si="28"/>
        <v>9.915505335844319</v>
      </c>
      <c r="J167" s="58">
        <f t="shared" si="26"/>
        <v>3.6991569086651053</v>
      </c>
      <c r="K167" s="124" t="s">
        <v>152</v>
      </c>
      <c r="L167" s="124" t="s">
        <v>152</v>
      </c>
    </row>
    <row r="168" spans="1:12" x14ac:dyDescent="0.2">
      <c r="A168" s="35" t="s">
        <v>224</v>
      </c>
      <c r="B168" s="54">
        <v>42.4</v>
      </c>
      <c r="C168" s="54">
        <f t="shared" si="30"/>
        <v>1.8999999999999986</v>
      </c>
      <c r="D168" s="54">
        <v>40.5</v>
      </c>
      <c r="E168" s="55">
        <f t="shared" si="27"/>
        <v>4.4811320754716952</v>
      </c>
      <c r="F168" s="55">
        <f t="shared" si="29"/>
        <v>38.296296296296298</v>
      </c>
      <c r="G168" s="56">
        <v>1551</v>
      </c>
      <c r="H168" s="49">
        <v>175.47399999999999</v>
      </c>
      <c r="I168" s="57">
        <f t="shared" si="28"/>
        <v>11.313604126370084</v>
      </c>
      <c r="J168" s="58">
        <f t="shared" si="26"/>
        <v>4.3326913580246913</v>
      </c>
      <c r="K168" s="124" t="s">
        <v>152</v>
      </c>
      <c r="L168" s="124" t="s">
        <v>152</v>
      </c>
    </row>
    <row r="169" spans="1:12" x14ac:dyDescent="0.2">
      <c r="A169" s="33" t="s">
        <v>225</v>
      </c>
      <c r="B169" s="54">
        <v>40.700000000000003</v>
      </c>
      <c r="C169" s="54">
        <f t="shared" si="30"/>
        <v>1.5</v>
      </c>
      <c r="D169" s="54">
        <v>39.200000000000003</v>
      </c>
      <c r="E169" s="55">
        <f t="shared" si="27"/>
        <v>3.6855036855036856</v>
      </c>
      <c r="F169" s="55">
        <f t="shared" si="29"/>
        <v>41.198979591836732</v>
      </c>
      <c r="G169" s="56">
        <v>1615</v>
      </c>
      <c r="H169" s="49">
        <v>177.39099999999999</v>
      </c>
      <c r="I169" s="57">
        <f t="shared" si="28"/>
        <v>10.983962848297214</v>
      </c>
      <c r="J169" s="58">
        <f t="shared" si="26"/>
        <v>4.525280612244897</v>
      </c>
      <c r="K169" s="124" t="s">
        <v>152</v>
      </c>
      <c r="L169" s="124" t="s">
        <v>152</v>
      </c>
    </row>
    <row r="170" spans="1:12" x14ac:dyDescent="0.2">
      <c r="A170" s="33" t="s">
        <v>226</v>
      </c>
      <c r="B170" s="54">
        <v>43.7</v>
      </c>
      <c r="C170" s="54">
        <f t="shared" si="30"/>
        <v>1.2000000000000028</v>
      </c>
      <c r="D170" s="59">
        <v>42.5</v>
      </c>
      <c r="E170" s="55">
        <f t="shared" si="27"/>
        <v>2.7459954233409674</v>
      </c>
      <c r="F170" s="55">
        <f t="shared" si="29"/>
        <v>33.505882352941178</v>
      </c>
      <c r="G170" s="56">
        <v>1424</v>
      </c>
      <c r="H170" s="49">
        <v>157.58799999999999</v>
      </c>
      <c r="I170" s="57">
        <f t="shared" si="28"/>
        <v>11.066573033707865</v>
      </c>
      <c r="J170" s="58">
        <f t="shared" si="26"/>
        <v>3.7079529411764702</v>
      </c>
      <c r="K170" s="124" t="s">
        <v>152</v>
      </c>
      <c r="L170" s="124" t="s">
        <v>152</v>
      </c>
    </row>
    <row r="171" spans="1:12" x14ac:dyDescent="0.2">
      <c r="A171" s="33" t="s">
        <v>227</v>
      </c>
      <c r="B171" s="54">
        <v>39.200000000000003</v>
      </c>
      <c r="C171" s="54">
        <f t="shared" si="30"/>
        <v>2</v>
      </c>
      <c r="D171" s="59">
        <v>37.200000000000003</v>
      </c>
      <c r="E171" s="55">
        <f t="shared" si="27"/>
        <v>5.1020408163265296</v>
      </c>
      <c r="F171" s="55">
        <f t="shared" si="29"/>
        <v>35.51075268817204</v>
      </c>
      <c r="G171" s="56">
        <v>1321</v>
      </c>
      <c r="H171" s="49">
        <v>151.93199999999999</v>
      </c>
      <c r="I171" s="57">
        <f t="shared" si="28"/>
        <v>11.501286903860711</v>
      </c>
      <c r="J171" s="58">
        <f t="shared" si="26"/>
        <v>4.0841935483870957</v>
      </c>
      <c r="K171" s="124" t="s">
        <v>152</v>
      </c>
      <c r="L171" s="124" t="s">
        <v>152</v>
      </c>
    </row>
    <row r="172" spans="1:12" x14ac:dyDescent="0.2">
      <c r="A172" s="35" t="s">
        <v>228</v>
      </c>
      <c r="B172" s="54">
        <v>39.700000000000003</v>
      </c>
      <c r="C172" s="54">
        <f t="shared" si="30"/>
        <v>3</v>
      </c>
      <c r="D172" s="59">
        <v>36.700000000000003</v>
      </c>
      <c r="E172" s="55">
        <f t="shared" si="27"/>
        <v>7.5566750629722916</v>
      </c>
      <c r="F172" s="55">
        <f t="shared" si="29"/>
        <v>35.994550408719341</v>
      </c>
      <c r="G172" s="56">
        <v>1321</v>
      </c>
      <c r="H172" s="49">
        <v>111.65900000000001</v>
      </c>
      <c r="I172" s="57">
        <f t="shared" si="28"/>
        <v>8.452611657834975</v>
      </c>
      <c r="J172" s="58">
        <f t="shared" si="26"/>
        <v>3.0424795640326976</v>
      </c>
      <c r="K172" s="124" t="s">
        <v>152</v>
      </c>
      <c r="L172" s="124" t="s">
        <v>152</v>
      </c>
    </row>
    <row r="173" spans="1:12" x14ac:dyDescent="0.2">
      <c r="A173" s="35" t="s">
        <v>229</v>
      </c>
      <c r="B173" s="54">
        <v>48.1</v>
      </c>
      <c r="C173" s="54">
        <f t="shared" si="30"/>
        <v>2.3000000000000043</v>
      </c>
      <c r="D173" s="59">
        <v>45.8</v>
      </c>
      <c r="E173" s="55">
        <f t="shared" si="27"/>
        <v>4.7817047817047902</v>
      </c>
      <c r="F173" s="55">
        <f t="shared" si="29"/>
        <v>30.480349344978169</v>
      </c>
      <c r="G173" s="56">
        <v>1396</v>
      </c>
      <c r="H173" s="49">
        <v>145.79300000000001</v>
      </c>
      <c r="I173" s="57">
        <f t="shared" si="28"/>
        <v>10.443624641833811</v>
      </c>
      <c r="J173" s="58">
        <f t="shared" si="26"/>
        <v>3.1832532751091707</v>
      </c>
      <c r="K173" s="124" t="s">
        <v>152</v>
      </c>
      <c r="L173" s="124" t="s">
        <v>152</v>
      </c>
    </row>
    <row r="174" spans="1:12" x14ac:dyDescent="0.2">
      <c r="A174" s="35" t="s">
        <v>230</v>
      </c>
      <c r="B174" s="54">
        <v>49</v>
      </c>
      <c r="C174" s="54">
        <f t="shared" si="30"/>
        <v>2</v>
      </c>
      <c r="D174" s="59">
        <v>47</v>
      </c>
      <c r="E174" s="55">
        <f t="shared" si="27"/>
        <v>4.0816326530612246</v>
      </c>
      <c r="F174" s="55">
        <f t="shared" si="29"/>
        <v>33.51063829787234</v>
      </c>
      <c r="G174" s="56">
        <v>1575</v>
      </c>
      <c r="H174" s="49">
        <v>149.81800000000001</v>
      </c>
      <c r="I174" s="57">
        <f t="shared" si="28"/>
        <v>9.5122539682539688</v>
      </c>
      <c r="J174" s="58">
        <f t="shared" si="26"/>
        <v>3.187617021276596</v>
      </c>
      <c r="K174" s="124" t="s">
        <v>152</v>
      </c>
      <c r="L174" s="124" t="s">
        <v>152</v>
      </c>
    </row>
    <row r="175" spans="1:12" x14ac:dyDescent="0.2">
      <c r="A175" s="35" t="s">
        <v>231</v>
      </c>
      <c r="B175" s="54">
        <v>44</v>
      </c>
      <c r="C175" s="54">
        <f t="shared" si="30"/>
        <v>1</v>
      </c>
      <c r="D175" s="59">
        <v>43</v>
      </c>
      <c r="E175" s="55">
        <f t="shared" si="27"/>
        <v>2.2727272727272729</v>
      </c>
      <c r="F175" s="55">
        <f t="shared" si="29"/>
        <v>35.906976744186046</v>
      </c>
      <c r="G175" s="56">
        <v>1544</v>
      </c>
      <c r="H175" s="49">
        <v>172.97399999999999</v>
      </c>
      <c r="I175" s="57">
        <f t="shared" si="28"/>
        <v>11.202979274611398</v>
      </c>
      <c r="J175" s="58">
        <f t="shared" si="26"/>
        <v>4.0226511627906971</v>
      </c>
      <c r="K175" s="124" t="s">
        <v>152</v>
      </c>
      <c r="L175" s="124" t="s">
        <v>152</v>
      </c>
    </row>
    <row r="176" spans="1:12" x14ac:dyDescent="0.2">
      <c r="A176" s="33" t="s">
        <v>232</v>
      </c>
      <c r="B176" s="54">
        <v>35.1</v>
      </c>
      <c r="C176" s="54">
        <f t="shared" si="30"/>
        <v>1.1000000000000014</v>
      </c>
      <c r="D176" s="59">
        <v>34</v>
      </c>
      <c r="E176" s="55">
        <f t="shared" si="27"/>
        <v>3.1339031339031376</v>
      </c>
      <c r="F176" s="55">
        <f t="shared" si="29"/>
        <v>42.529411764705884</v>
      </c>
      <c r="G176" s="56">
        <v>1446</v>
      </c>
      <c r="H176" s="49">
        <v>145.34100000000001</v>
      </c>
      <c r="I176" s="57">
        <f t="shared" si="28"/>
        <v>10.051244813278009</v>
      </c>
      <c r="J176" s="58">
        <f t="shared" si="26"/>
        <v>4.2747352941176473</v>
      </c>
      <c r="K176" s="124" t="s">
        <v>152</v>
      </c>
      <c r="L176" s="124" t="s">
        <v>152</v>
      </c>
    </row>
    <row r="177" spans="1:14" x14ac:dyDescent="0.2">
      <c r="A177" s="60" t="s">
        <v>233</v>
      </c>
      <c r="B177" s="54">
        <v>33.1</v>
      </c>
      <c r="C177" s="54">
        <f t="shared" si="30"/>
        <v>1.6000000000000014</v>
      </c>
      <c r="D177" s="59">
        <v>31.5</v>
      </c>
      <c r="E177" s="55">
        <f t="shared" si="27"/>
        <v>4.8338368580060465</v>
      </c>
      <c r="F177" s="55">
        <f t="shared" si="29"/>
        <v>37.904761904761905</v>
      </c>
      <c r="G177" s="56">
        <v>1194</v>
      </c>
      <c r="H177" s="49">
        <v>123.273</v>
      </c>
      <c r="I177" s="57">
        <f t="shared" si="28"/>
        <v>10.324371859296482</v>
      </c>
      <c r="J177" s="58">
        <f t="shared" si="26"/>
        <v>3.9134285714285713</v>
      </c>
      <c r="K177" s="124" t="s">
        <v>152</v>
      </c>
      <c r="L177" s="124" t="s">
        <v>152</v>
      </c>
    </row>
    <row r="178" spans="1:14" x14ac:dyDescent="0.2">
      <c r="A178" s="33" t="s">
        <v>234</v>
      </c>
      <c r="B178" s="54">
        <v>36.6</v>
      </c>
      <c r="C178" s="54">
        <f t="shared" si="30"/>
        <v>1.3999999999999986</v>
      </c>
      <c r="D178" s="59">
        <v>35.200000000000003</v>
      </c>
      <c r="E178" s="55">
        <f t="shared" si="27"/>
        <v>3.8251366120218537</v>
      </c>
      <c r="F178" s="55">
        <f t="shared" si="29"/>
        <v>31.392045454545453</v>
      </c>
      <c r="G178" s="56">
        <v>1105</v>
      </c>
      <c r="H178" s="49">
        <v>116.41699999999999</v>
      </c>
      <c r="I178" s="57">
        <f t="shared" si="28"/>
        <v>10.535475113122171</v>
      </c>
      <c r="J178" s="58">
        <f t="shared" si="26"/>
        <v>3.3073011363636358</v>
      </c>
      <c r="K178" s="124" t="s">
        <v>152</v>
      </c>
      <c r="L178" s="124" t="s">
        <v>152</v>
      </c>
    </row>
    <row r="179" spans="1:14" x14ac:dyDescent="0.2">
      <c r="A179" s="33" t="s">
        <v>235</v>
      </c>
      <c r="B179" s="54">
        <v>39.6</v>
      </c>
      <c r="C179" s="54">
        <f t="shared" si="30"/>
        <v>1.8999999999999986</v>
      </c>
      <c r="D179" s="59">
        <v>37.700000000000003</v>
      </c>
      <c r="E179" s="55">
        <f t="shared" si="27"/>
        <v>4.797979797979794</v>
      </c>
      <c r="F179" s="55">
        <f t="shared" si="29"/>
        <v>37.0026525198939</v>
      </c>
      <c r="G179" s="56">
        <v>1395</v>
      </c>
      <c r="H179" s="49">
        <v>140.33699999999999</v>
      </c>
      <c r="I179" s="57">
        <f t="shared" si="28"/>
        <v>10.059999999999999</v>
      </c>
      <c r="J179" s="58">
        <f t="shared" si="26"/>
        <v>3.7224668435013255</v>
      </c>
      <c r="K179" s="124" t="s">
        <v>152</v>
      </c>
      <c r="L179" s="124" t="s">
        <v>152</v>
      </c>
    </row>
    <row r="180" spans="1:14" x14ac:dyDescent="0.2">
      <c r="A180" s="33" t="s">
        <v>236</v>
      </c>
      <c r="B180" s="54">
        <v>41.8</v>
      </c>
      <c r="C180" s="54">
        <f t="shared" si="30"/>
        <v>1.2999999999999972</v>
      </c>
      <c r="D180" s="59">
        <v>40.5</v>
      </c>
      <c r="E180" s="55">
        <f t="shared" si="27"/>
        <v>3.1100478468899455</v>
      </c>
      <c r="F180" s="55">
        <f t="shared" si="29"/>
        <v>36.790123456790127</v>
      </c>
      <c r="G180" s="56">
        <v>1490</v>
      </c>
      <c r="H180" s="49">
        <v>168.785</v>
      </c>
      <c r="I180" s="57">
        <f t="shared" si="28"/>
        <v>11.327852348993288</v>
      </c>
      <c r="J180" s="58">
        <f t="shared" si="26"/>
        <v>4.1675308641975306</v>
      </c>
      <c r="K180" s="124" t="s">
        <v>152</v>
      </c>
      <c r="L180" s="124" t="s">
        <v>152</v>
      </c>
    </row>
    <row r="181" spans="1:14" x14ac:dyDescent="0.2">
      <c r="A181" s="33" t="s">
        <v>237</v>
      </c>
      <c r="B181" s="54">
        <v>38.9</v>
      </c>
      <c r="C181" s="54">
        <f t="shared" si="30"/>
        <v>1.2999999999999972</v>
      </c>
      <c r="D181" s="59">
        <v>37.6</v>
      </c>
      <c r="E181" s="55">
        <f t="shared" si="27"/>
        <v>3.3419023136246713</v>
      </c>
      <c r="F181" s="55">
        <f t="shared" si="29"/>
        <v>36.595744680851062</v>
      </c>
      <c r="G181" s="56">
        <v>1376</v>
      </c>
      <c r="H181" s="49">
        <v>147.292</v>
      </c>
      <c r="I181" s="57">
        <f t="shared" si="28"/>
        <v>10.704360465116279</v>
      </c>
      <c r="J181" s="58">
        <f t="shared" si="26"/>
        <v>3.9173404255319149</v>
      </c>
      <c r="K181" s="124" t="s">
        <v>152</v>
      </c>
      <c r="L181" s="124" t="s">
        <v>152</v>
      </c>
    </row>
    <row r="182" spans="1:14" x14ac:dyDescent="0.2">
      <c r="A182" s="33" t="s">
        <v>238</v>
      </c>
      <c r="B182" s="54">
        <v>33.5</v>
      </c>
      <c r="C182" s="54">
        <f t="shared" si="30"/>
        <v>1.8999999999999986</v>
      </c>
      <c r="D182" s="59">
        <v>31.6</v>
      </c>
      <c r="E182" s="55">
        <f t="shared" si="27"/>
        <v>5.6716417910447712</v>
      </c>
      <c r="F182" s="55">
        <f t="shared" si="29"/>
        <v>33.291139240506325</v>
      </c>
      <c r="G182" s="56">
        <v>1052</v>
      </c>
      <c r="H182" s="49">
        <v>126.235</v>
      </c>
      <c r="I182" s="57">
        <f t="shared" si="28"/>
        <v>11.999524714828897</v>
      </c>
      <c r="J182" s="58">
        <f t="shared" si="26"/>
        <v>3.9947784810126579</v>
      </c>
      <c r="K182" s="124" t="s">
        <v>152</v>
      </c>
      <c r="L182" s="124" t="s">
        <v>152</v>
      </c>
    </row>
    <row r="183" spans="1:14" x14ac:dyDescent="0.2">
      <c r="A183" s="60" t="s">
        <v>239</v>
      </c>
      <c r="B183" s="54">
        <v>35.9</v>
      </c>
      <c r="C183" s="54">
        <f t="shared" si="30"/>
        <v>2.5</v>
      </c>
      <c r="D183" s="59">
        <v>33.4</v>
      </c>
      <c r="E183" s="55">
        <f t="shared" si="27"/>
        <v>6.9637883008356551</v>
      </c>
      <c r="F183" s="55">
        <f t="shared" si="29"/>
        <v>31.497005988023954</v>
      </c>
      <c r="G183" s="56">
        <v>1052</v>
      </c>
      <c r="H183" s="49">
        <v>133.511</v>
      </c>
      <c r="I183" s="57">
        <f>H183/G183*100</f>
        <v>12.69115969581749</v>
      </c>
      <c r="J183" s="58">
        <f t="shared" si="26"/>
        <v>3.9973353293413174</v>
      </c>
      <c r="K183" s="124" t="s">
        <v>152</v>
      </c>
      <c r="L183" s="124" t="s">
        <v>152</v>
      </c>
    </row>
    <row r="184" spans="1:14" x14ac:dyDescent="0.2">
      <c r="A184" s="60" t="s">
        <v>350</v>
      </c>
      <c r="B184" s="54">
        <v>36.4</v>
      </c>
      <c r="C184" s="54">
        <f t="shared" si="30"/>
        <v>2.1000000000000014</v>
      </c>
      <c r="D184" s="59">
        <v>34.299999999999997</v>
      </c>
      <c r="E184" s="55">
        <f t="shared" si="27"/>
        <v>5.7692307692307727</v>
      </c>
      <c r="F184" s="55">
        <f t="shared" si="29"/>
        <v>30.787172011661809</v>
      </c>
      <c r="G184" s="56">
        <v>1056</v>
      </c>
      <c r="H184" s="49">
        <v>124.381</v>
      </c>
      <c r="I184" s="57">
        <f>H184/G184*100</f>
        <v>11.778503787878789</v>
      </c>
      <c r="J184" s="58">
        <f t="shared" si="26"/>
        <v>3.6262682215743443</v>
      </c>
      <c r="K184" s="124" t="s">
        <v>152</v>
      </c>
      <c r="L184" s="124" t="s">
        <v>152</v>
      </c>
    </row>
    <row r="185" spans="1:14" x14ac:dyDescent="0.2">
      <c r="A185" s="60" t="s">
        <v>381</v>
      </c>
      <c r="B185" s="54">
        <v>31.2</v>
      </c>
      <c r="C185" s="54">
        <f t="shared" si="30"/>
        <v>0.30000000000000071</v>
      </c>
      <c r="D185" s="59">
        <v>30.9</v>
      </c>
      <c r="E185" s="55">
        <f t="shared" si="27"/>
        <v>0.9615384615384639</v>
      </c>
      <c r="F185" s="55">
        <f t="shared" si="29"/>
        <v>22.6</v>
      </c>
      <c r="G185" s="56">
        <v>698.34</v>
      </c>
      <c r="H185" s="49">
        <v>76.433000000000007</v>
      </c>
      <c r="I185" s="57">
        <f>H185/G185*100</f>
        <v>10.944955179425495</v>
      </c>
      <c r="J185" s="58">
        <f t="shared" si="26"/>
        <v>2.473559870550162</v>
      </c>
      <c r="K185" s="124" t="s">
        <v>152</v>
      </c>
      <c r="L185" s="124" t="s">
        <v>152</v>
      </c>
    </row>
    <row r="186" spans="1:14" x14ac:dyDescent="0.2">
      <c r="A186" s="60" t="s">
        <v>378</v>
      </c>
      <c r="B186" s="54">
        <v>16.5</v>
      </c>
      <c r="C186" s="54">
        <f t="shared" si="30"/>
        <v>0</v>
      </c>
      <c r="D186" s="59">
        <v>16.5</v>
      </c>
      <c r="E186" s="55">
        <f t="shared" si="27"/>
        <v>0</v>
      </c>
      <c r="F186" s="55">
        <f t="shared" si="29"/>
        <v>22.484848484848484</v>
      </c>
      <c r="G186" s="56">
        <v>371</v>
      </c>
      <c r="H186" s="49">
        <v>39.709000000000003</v>
      </c>
      <c r="I186" s="57">
        <f>H186/G186*100</f>
        <v>10.70323450134771</v>
      </c>
      <c r="J186" s="58">
        <f t="shared" ref="J186" si="31">H186/D186</f>
        <v>2.4066060606060606</v>
      </c>
      <c r="K186" s="124" t="s">
        <v>152</v>
      </c>
      <c r="L186" s="124" t="s">
        <v>152</v>
      </c>
    </row>
    <row r="187" spans="1:14" x14ac:dyDescent="0.2">
      <c r="A187" s="60"/>
      <c r="B187" s="54"/>
      <c r="C187" s="54"/>
      <c r="D187" s="59"/>
      <c r="E187" s="55"/>
      <c r="F187" s="55"/>
      <c r="G187" s="56"/>
      <c r="H187" s="49"/>
      <c r="I187" s="57"/>
      <c r="J187" s="58"/>
      <c r="K187" s="33"/>
    </row>
    <row r="188" spans="1:14" x14ac:dyDescent="0.2">
      <c r="A188" s="21" t="s">
        <v>296</v>
      </c>
      <c r="B188" s="54"/>
      <c r="C188" s="54"/>
      <c r="D188" s="54"/>
      <c r="E188" s="55"/>
      <c r="F188" s="55"/>
      <c r="G188" s="56"/>
      <c r="H188" s="49"/>
      <c r="I188" s="57"/>
      <c r="J188" s="58"/>
      <c r="K188" s="33"/>
    </row>
    <row r="189" spans="1:14" x14ac:dyDescent="0.2">
      <c r="A189" s="33" t="s">
        <v>199</v>
      </c>
      <c r="B189" s="54">
        <f t="shared" ref="B189:D208" si="32">B9+B56+B96+B143</f>
        <v>732.7</v>
      </c>
      <c r="C189" s="54">
        <f t="shared" si="32"/>
        <v>49.099999999999994</v>
      </c>
      <c r="D189" s="54">
        <f t="shared" si="32"/>
        <v>683.6</v>
      </c>
      <c r="E189" s="55">
        <f t="shared" ref="E189:E216" si="33">C189/B189*100</f>
        <v>6.701241981711477</v>
      </c>
      <c r="F189" s="55">
        <f t="shared" ref="F189:F228" si="34">G189/D189</f>
        <v>37.422469280280865</v>
      </c>
      <c r="G189" s="56">
        <f t="shared" ref="G189:H208" si="35">G9+G56+G96+G143</f>
        <v>25582</v>
      </c>
      <c r="H189" s="49">
        <f t="shared" si="35"/>
        <v>2728</v>
      </c>
      <c r="I189" s="57">
        <f t="shared" ref="I189:I216" si="36">H189/G189*100</f>
        <v>10.66374794777578</v>
      </c>
      <c r="J189" s="58">
        <f t="shared" ref="J189:J228" si="37">H189/D189</f>
        <v>3.9906377998829723</v>
      </c>
      <c r="K189" s="223" t="s">
        <v>152</v>
      </c>
      <c r="L189" s="224" t="s">
        <v>152</v>
      </c>
      <c r="M189" s="225"/>
      <c r="N189" s="225"/>
    </row>
    <row r="190" spans="1:14" x14ac:dyDescent="0.2">
      <c r="A190" s="33" t="s">
        <v>200</v>
      </c>
      <c r="B190" s="54">
        <f t="shared" si="32"/>
        <v>755.4</v>
      </c>
      <c r="C190" s="54">
        <f t="shared" si="32"/>
        <v>39.800000000000011</v>
      </c>
      <c r="D190" s="54">
        <f t="shared" si="32"/>
        <v>715.6</v>
      </c>
      <c r="E190" s="55">
        <f t="shared" si="33"/>
        <v>5.2687317977230617</v>
      </c>
      <c r="F190" s="55">
        <f t="shared" si="34"/>
        <v>36.563722750139739</v>
      </c>
      <c r="G190" s="56">
        <f t="shared" si="35"/>
        <v>26165</v>
      </c>
      <c r="H190" s="49">
        <f t="shared" si="35"/>
        <v>2833</v>
      </c>
      <c r="I190" s="57">
        <f t="shared" si="36"/>
        <v>10.827441238295432</v>
      </c>
      <c r="J190" s="58">
        <f t="shared" si="37"/>
        <v>3.9589155953046395</v>
      </c>
      <c r="K190" s="223" t="s">
        <v>152</v>
      </c>
      <c r="L190" s="224" t="s">
        <v>152</v>
      </c>
      <c r="M190" s="225"/>
      <c r="N190" s="225"/>
    </row>
    <row r="191" spans="1:14" x14ac:dyDescent="0.2">
      <c r="A191" s="33" t="s">
        <v>201</v>
      </c>
      <c r="B191" s="54">
        <f t="shared" si="32"/>
        <v>741.7</v>
      </c>
      <c r="C191" s="54">
        <f t="shared" si="32"/>
        <v>41.30000000000004</v>
      </c>
      <c r="D191" s="54">
        <f t="shared" si="32"/>
        <v>700.40000000000009</v>
      </c>
      <c r="E191" s="55">
        <f t="shared" si="33"/>
        <v>5.5682890656599753</v>
      </c>
      <c r="F191" s="55">
        <f t="shared" si="34"/>
        <v>40.61821816105082</v>
      </c>
      <c r="G191" s="56">
        <f t="shared" si="35"/>
        <v>28449</v>
      </c>
      <c r="H191" s="49">
        <f t="shared" si="35"/>
        <v>3063</v>
      </c>
      <c r="I191" s="57">
        <f t="shared" si="36"/>
        <v>10.766635031108299</v>
      </c>
      <c r="J191" s="58">
        <f t="shared" si="37"/>
        <v>4.3732153055396914</v>
      </c>
      <c r="K191" s="223" t="s">
        <v>152</v>
      </c>
      <c r="L191" s="224" t="s">
        <v>152</v>
      </c>
      <c r="M191" s="225"/>
      <c r="N191" s="225"/>
    </row>
    <row r="192" spans="1:14" x14ac:dyDescent="0.2">
      <c r="A192" s="33" t="s">
        <v>202</v>
      </c>
      <c r="B192" s="54">
        <f t="shared" si="32"/>
        <v>767.7</v>
      </c>
      <c r="C192" s="54">
        <f t="shared" si="32"/>
        <v>34.299999999999955</v>
      </c>
      <c r="D192" s="54">
        <f t="shared" si="32"/>
        <v>733.40000000000009</v>
      </c>
      <c r="E192" s="55">
        <f t="shared" si="33"/>
        <v>4.4678911032955524</v>
      </c>
      <c r="F192" s="55">
        <f t="shared" si="34"/>
        <v>37.08890100899918</v>
      </c>
      <c r="G192" s="56">
        <f t="shared" si="35"/>
        <v>27201</v>
      </c>
      <c r="H192" s="49">
        <f t="shared" si="35"/>
        <v>2930</v>
      </c>
      <c r="I192" s="57">
        <f t="shared" si="36"/>
        <v>10.771662806514467</v>
      </c>
      <c r="J192" s="58">
        <f t="shared" si="37"/>
        <v>3.9950913553313332</v>
      </c>
      <c r="K192" s="223" t="s">
        <v>152</v>
      </c>
      <c r="L192" s="224" t="s">
        <v>152</v>
      </c>
      <c r="M192" s="225"/>
      <c r="N192" s="225"/>
    </row>
    <row r="193" spans="1:14" x14ac:dyDescent="0.2">
      <c r="A193" s="33" t="s">
        <v>203</v>
      </c>
      <c r="B193" s="54">
        <f t="shared" si="32"/>
        <v>747.30000000000007</v>
      </c>
      <c r="C193" s="54">
        <f t="shared" si="32"/>
        <v>46.60000000000003</v>
      </c>
      <c r="D193" s="54">
        <f t="shared" si="32"/>
        <v>700.69999999999993</v>
      </c>
      <c r="E193" s="55">
        <f t="shared" si="33"/>
        <v>6.2357821490699887</v>
      </c>
      <c r="F193" s="55">
        <f t="shared" si="34"/>
        <v>37.117168545739979</v>
      </c>
      <c r="G193" s="56">
        <f t="shared" si="35"/>
        <v>26008</v>
      </c>
      <c r="H193" s="49">
        <f t="shared" si="35"/>
        <v>3007</v>
      </c>
      <c r="I193" s="57">
        <f t="shared" si="36"/>
        <v>11.56182713011381</v>
      </c>
      <c r="J193" s="58">
        <f t="shared" si="37"/>
        <v>4.2914228628514346</v>
      </c>
      <c r="K193" s="223" t="s">
        <v>152</v>
      </c>
      <c r="L193" s="224" t="s">
        <v>152</v>
      </c>
      <c r="M193" s="225"/>
      <c r="N193" s="225"/>
    </row>
    <row r="194" spans="1:14" x14ac:dyDescent="0.2">
      <c r="A194" s="33" t="s">
        <v>204</v>
      </c>
      <c r="B194" s="54">
        <f t="shared" si="32"/>
        <v>770</v>
      </c>
      <c r="C194" s="54">
        <f t="shared" si="32"/>
        <v>47.200000000000017</v>
      </c>
      <c r="D194" s="54">
        <f t="shared" si="32"/>
        <v>722.8</v>
      </c>
      <c r="E194" s="55">
        <f t="shared" si="33"/>
        <v>6.1298701298701319</v>
      </c>
      <c r="F194" s="55">
        <f t="shared" si="34"/>
        <v>37.184560044272274</v>
      </c>
      <c r="G194" s="56">
        <f t="shared" si="35"/>
        <v>26877</v>
      </c>
      <c r="H194" s="49">
        <f t="shared" si="35"/>
        <v>3033</v>
      </c>
      <c r="I194" s="57">
        <f t="shared" si="36"/>
        <v>11.28474160062507</v>
      </c>
      <c r="J194" s="58">
        <f t="shared" si="37"/>
        <v>4.1961815163254013</v>
      </c>
      <c r="K194" s="223" t="s">
        <v>152</v>
      </c>
      <c r="L194" s="224" t="s">
        <v>152</v>
      </c>
      <c r="M194" s="225"/>
      <c r="N194" s="225"/>
    </row>
    <row r="195" spans="1:14" x14ac:dyDescent="0.2">
      <c r="A195" s="33" t="s">
        <v>205</v>
      </c>
      <c r="B195" s="54">
        <f t="shared" si="32"/>
        <v>796.2</v>
      </c>
      <c r="C195" s="54">
        <f t="shared" si="32"/>
        <v>45.500000000000007</v>
      </c>
      <c r="D195" s="54">
        <f t="shared" si="32"/>
        <v>750.7</v>
      </c>
      <c r="E195" s="55">
        <f t="shared" si="33"/>
        <v>5.7146445616679236</v>
      </c>
      <c r="F195" s="55">
        <f t="shared" si="34"/>
        <v>38.545357666178234</v>
      </c>
      <c r="G195" s="56">
        <f t="shared" si="35"/>
        <v>28936</v>
      </c>
      <c r="H195" s="49">
        <f t="shared" si="35"/>
        <v>3281</v>
      </c>
      <c r="I195" s="57">
        <f t="shared" si="36"/>
        <v>11.338816698921757</v>
      </c>
      <c r="J195" s="58">
        <f t="shared" si="37"/>
        <v>4.3705874517117351</v>
      </c>
      <c r="K195" s="223" t="s">
        <v>152</v>
      </c>
      <c r="L195" s="224" t="s">
        <v>152</v>
      </c>
      <c r="M195" s="225"/>
      <c r="N195" s="225"/>
    </row>
    <row r="196" spans="1:14" x14ac:dyDescent="0.2">
      <c r="A196" s="33" t="s">
        <v>206</v>
      </c>
      <c r="B196" s="54">
        <f t="shared" si="32"/>
        <v>823.6</v>
      </c>
      <c r="C196" s="54">
        <f t="shared" si="32"/>
        <v>45.300000000000004</v>
      </c>
      <c r="D196" s="54">
        <f t="shared" si="32"/>
        <v>778.3</v>
      </c>
      <c r="E196" s="55">
        <f t="shared" si="33"/>
        <v>5.5002428363283151</v>
      </c>
      <c r="F196" s="55">
        <f t="shared" si="34"/>
        <v>36.009250931517414</v>
      </c>
      <c r="G196" s="56">
        <f t="shared" si="35"/>
        <v>28026</v>
      </c>
      <c r="H196" s="49">
        <f t="shared" si="35"/>
        <v>3283</v>
      </c>
      <c r="I196" s="57">
        <f t="shared" si="36"/>
        <v>11.714122600442446</v>
      </c>
      <c r="J196" s="58">
        <f t="shared" si="37"/>
        <v>4.2181678016189137</v>
      </c>
      <c r="K196" s="223" t="s">
        <v>152</v>
      </c>
      <c r="L196" s="224" t="s">
        <v>152</v>
      </c>
      <c r="M196" s="225"/>
      <c r="N196" s="225"/>
    </row>
    <row r="197" spans="1:14" x14ac:dyDescent="0.2">
      <c r="A197" s="33" t="s">
        <v>207</v>
      </c>
      <c r="B197" s="54">
        <f t="shared" si="32"/>
        <v>845.30000000000007</v>
      </c>
      <c r="C197" s="54">
        <f t="shared" si="32"/>
        <v>51.699999999999989</v>
      </c>
      <c r="D197" s="54">
        <f t="shared" si="32"/>
        <v>793.6</v>
      </c>
      <c r="E197" s="55">
        <f t="shared" si="33"/>
        <v>6.1161717733349086</v>
      </c>
      <c r="F197" s="55">
        <f t="shared" si="34"/>
        <v>35.885836693548384</v>
      </c>
      <c r="G197" s="56">
        <f t="shared" si="35"/>
        <v>28479</v>
      </c>
      <c r="H197" s="49">
        <f t="shared" si="35"/>
        <v>3398</v>
      </c>
      <c r="I197" s="57">
        <f t="shared" si="36"/>
        <v>11.931598721865235</v>
      </c>
      <c r="J197" s="58">
        <f t="shared" si="37"/>
        <v>4.2817540322580641</v>
      </c>
      <c r="K197" s="223" t="s">
        <v>152</v>
      </c>
      <c r="L197" s="224" t="s">
        <v>152</v>
      </c>
      <c r="M197" s="225"/>
      <c r="N197" s="225"/>
    </row>
    <row r="198" spans="1:14" x14ac:dyDescent="0.2">
      <c r="A198" s="33" t="s">
        <v>208</v>
      </c>
      <c r="B198" s="54">
        <f t="shared" si="32"/>
        <v>851.9</v>
      </c>
      <c r="C198" s="54">
        <f t="shared" si="32"/>
        <v>48.6</v>
      </c>
      <c r="D198" s="54">
        <f t="shared" si="32"/>
        <v>803.30000000000007</v>
      </c>
      <c r="E198" s="55">
        <f t="shared" si="33"/>
        <v>5.7048949407207425</v>
      </c>
      <c r="F198" s="55">
        <f t="shared" si="34"/>
        <v>34.942113780654793</v>
      </c>
      <c r="G198" s="56">
        <f t="shared" si="35"/>
        <v>28069</v>
      </c>
      <c r="H198" s="49">
        <f t="shared" si="35"/>
        <v>3177</v>
      </c>
      <c r="I198" s="57">
        <f t="shared" si="36"/>
        <v>11.318536463714418</v>
      </c>
      <c r="J198" s="58">
        <f t="shared" si="37"/>
        <v>3.9549358894559936</v>
      </c>
      <c r="K198" s="223" t="s">
        <v>152</v>
      </c>
      <c r="L198" s="224" t="s">
        <v>152</v>
      </c>
      <c r="M198" s="225"/>
      <c r="N198" s="225"/>
    </row>
    <row r="199" spans="1:14" x14ac:dyDescent="0.2">
      <c r="A199" s="33" t="s">
        <v>209</v>
      </c>
      <c r="B199" s="54">
        <f t="shared" si="32"/>
        <v>794.2</v>
      </c>
      <c r="C199" s="54">
        <f t="shared" si="32"/>
        <v>67.800000000000011</v>
      </c>
      <c r="D199" s="54">
        <f t="shared" si="32"/>
        <v>726.4</v>
      </c>
      <c r="E199" s="55">
        <f t="shared" si="33"/>
        <v>8.5368924704104767</v>
      </c>
      <c r="F199" s="55">
        <f t="shared" si="34"/>
        <v>36.446861233480178</v>
      </c>
      <c r="G199" s="56">
        <f t="shared" si="35"/>
        <v>26475</v>
      </c>
      <c r="H199" s="49">
        <f t="shared" si="35"/>
        <v>3153</v>
      </c>
      <c r="I199" s="57">
        <f t="shared" si="36"/>
        <v>11.909348441926346</v>
      </c>
      <c r="J199" s="58">
        <f t="shared" si="37"/>
        <v>4.3405837004405292</v>
      </c>
      <c r="K199" s="223" t="s">
        <v>152</v>
      </c>
      <c r="L199" s="224" t="s">
        <v>152</v>
      </c>
      <c r="M199" s="225"/>
      <c r="N199" s="225"/>
    </row>
    <row r="200" spans="1:14" x14ac:dyDescent="0.2">
      <c r="A200" s="33" t="s">
        <v>210</v>
      </c>
      <c r="B200" s="54">
        <f t="shared" si="32"/>
        <v>896.9</v>
      </c>
      <c r="C200" s="54">
        <f t="shared" si="32"/>
        <v>47.29999999999999</v>
      </c>
      <c r="D200" s="54">
        <f t="shared" si="32"/>
        <v>849.6</v>
      </c>
      <c r="E200" s="55">
        <f t="shared" si="33"/>
        <v>5.2737205931541968</v>
      </c>
      <c r="F200" s="55">
        <f t="shared" si="34"/>
        <v>34.086629001883239</v>
      </c>
      <c r="G200" s="56">
        <f t="shared" si="35"/>
        <v>28960</v>
      </c>
      <c r="H200" s="49">
        <f t="shared" si="35"/>
        <v>3428.9</v>
      </c>
      <c r="I200" s="57">
        <f t="shared" si="36"/>
        <v>11.840124309392266</v>
      </c>
      <c r="J200" s="58">
        <f t="shared" si="37"/>
        <v>4.0358992467043313</v>
      </c>
      <c r="K200" s="223" t="s">
        <v>152</v>
      </c>
      <c r="L200" s="224" t="s">
        <v>152</v>
      </c>
      <c r="M200" s="226"/>
      <c r="N200" s="227"/>
    </row>
    <row r="201" spans="1:14" x14ac:dyDescent="0.2">
      <c r="A201" s="33" t="s">
        <v>211</v>
      </c>
      <c r="B201" s="54">
        <f t="shared" si="32"/>
        <v>925.19999999999993</v>
      </c>
      <c r="C201" s="54">
        <f t="shared" si="32"/>
        <v>54.8</v>
      </c>
      <c r="D201" s="54">
        <f t="shared" si="32"/>
        <v>870.40000000000009</v>
      </c>
      <c r="E201" s="55">
        <f t="shared" si="33"/>
        <v>5.923043666234328</v>
      </c>
      <c r="F201" s="55">
        <f t="shared" si="34"/>
        <v>33.172104779411761</v>
      </c>
      <c r="G201" s="56">
        <f t="shared" si="35"/>
        <v>28873</v>
      </c>
      <c r="H201" s="49">
        <f t="shared" si="35"/>
        <v>3372.694</v>
      </c>
      <c r="I201" s="57">
        <f t="shared" si="36"/>
        <v>11.681134624043224</v>
      </c>
      <c r="J201" s="58">
        <f t="shared" si="37"/>
        <v>3.8748782169117644</v>
      </c>
      <c r="K201" s="223" t="s">
        <v>152</v>
      </c>
      <c r="L201" s="223" t="s">
        <v>152</v>
      </c>
      <c r="M201" s="226"/>
      <c r="N201" s="227"/>
    </row>
    <row r="202" spans="1:14" x14ac:dyDescent="0.2">
      <c r="A202" s="33" t="s">
        <v>212</v>
      </c>
      <c r="B202" s="54">
        <f t="shared" si="32"/>
        <v>948.3</v>
      </c>
      <c r="C202" s="54">
        <f t="shared" si="32"/>
        <v>55.000000000000007</v>
      </c>
      <c r="D202" s="54">
        <f t="shared" si="32"/>
        <v>893.3</v>
      </c>
      <c r="E202" s="55">
        <f t="shared" si="33"/>
        <v>5.7998523673942852</v>
      </c>
      <c r="F202" s="55">
        <f t="shared" si="34"/>
        <v>33.174745326318146</v>
      </c>
      <c r="G202" s="56">
        <f t="shared" si="35"/>
        <v>29635</v>
      </c>
      <c r="H202" s="49">
        <f t="shared" si="35"/>
        <v>3484.1300000000006</v>
      </c>
      <c r="I202" s="57">
        <f t="shared" si="36"/>
        <v>11.756807828581071</v>
      </c>
      <c r="J202" s="58">
        <f t="shared" si="37"/>
        <v>3.900291055636405</v>
      </c>
      <c r="K202" s="223" t="s">
        <v>152</v>
      </c>
      <c r="L202" s="223" t="s">
        <v>152</v>
      </c>
      <c r="M202" s="226"/>
      <c r="N202" s="227"/>
    </row>
    <row r="203" spans="1:14" x14ac:dyDescent="0.2">
      <c r="A203" s="33" t="s">
        <v>213</v>
      </c>
      <c r="B203" s="54">
        <f t="shared" si="32"/>
        <v>936.8</v>
      </c>
      <c r="C203" s="54">
        <f t="shared" si="32"/>
        <v>55.1</v>
      </c>
      <c r="D203" s="54">
        <f t="shared" si="32"/>
        <v>881.69999999999993</v>
      </c>
      <c r="E203" s="55">
        <f t="shared" si="33"/>
        <v>5.8817250213492747</v>
      </c>
      <c r="F203" s="55">
        <f t="shared" si="34"/>
        <v>33.34921175002836</v>
      </c>
      <c r="G203" s="56">
        <f t="shared" si="35"/>
        <v>29404</v>
      </c>
      <c r="H203" s="49">
        <f t="shared" si="35"/>
        <v>3547.4450000000002</v>
      </c>
      <c r="I203" s="57">
        <f t="shared" si="36"/>
        <v>12.064498027479255</v>
      </c>
      <c r="J203" s="58">
        <f t="shared" si="37"/>
        <v>4.0234149937620511</v>
      </c>
      <c r="K203" s="223" t="s">
        <v>152</v>
      </c>
      <c r="L203" s="223" t="s">
        <v>152</v>
      </c>
      <c r="M203" s="226"/>
      <c r="N203" s="227"/>
    </row>
    <row r="204" spans="1:14" x14ac:dyDescent="0.2">
      <c r="A204" s="33" t="s">
        <v>214</v>
      </c>
      <c r="B204" s="54">
        <f t="shared" si="32"/>
        <v>932.3</v>
      </c>
      <c r="C204" s="54">
        <f t="shared" si="32"/>
        <v>57.6</v>
      </c>
      <c r="D204" s="54">
        <f t="shared" si="32"/>
        <v>874.7</v>
      </c>
      <c r="E204" s="55">
        <f t="shared" si="33"/>
        <v>6.1782687975973403</v>
      </c>
      <c r="F204" s="55">
        <f t="shared" si="34"/>
        <v>33.310849434091686</v>
      </c>
      <c r="G204" s="56">
        <f t="shared" si="35"/>
        <v>29137</v>
      </c>
      <c r="H204" s="49">
        <f t="shared" si="35"/>
        <v>3453.5610000000001</v>
      </c>
      <c r="I204" s="57">
        <f t="shared" si="36"/>
        <v>11.852836599512647</v>
      </c>
      <c r="J204" s="58">
        <f t="shared" si="37"/>
        <v>3.9482805533325713</v>
      </c>
      <c r="K204" s="223" t="s">
        <v>152</v>
      </c>
      <c r="L204" s="223" t="s">
        <v>152</v>
      </c>
      <c r="M204" s="226"/>
      <c r="N204" s="227"/>
    </row>
    <row r="205" spans="1:14" x14ac:dyDescent="0.2">
      <c r="A205" s="33" t="s">
        <v>215</v>
      </c>
      <c r="B205" s="54">
        <f t="shared" si="32"/>
        <v>888.9</v>
      </c>
      <c r="C205" s="54">
        <f t="shared" si="32"/>
        <v>59.4</v>
      </c>
      <c r="D205" s="54">
        <f t="shared" si="32"/>
        <v>829.5</v>
      </c>
      <c r="E205" s="55">
        <f t="shared" si="33"/>
        <v>6.682416469794128</v>
      </c>
      <c r="F205" s="55">
        <f t="shared" si="34"/>
        <v>33.377938517179025</v>
      </c>
      <c r="G205" s="56">
        <f t="shared" si="35"/>
        <v>27687</v>
      </c>
      <c r="H205" s="49">
        <f t="shared" si="35"/>
        <v>3247.7730000000001</v>
      </c>
      <c r="I205" s="57">
        <f t="shared" si="36"/>
        <v>11.730317477516525</v>
      </c>
      <c r="J205" s="58">
        <f t="shared" si="37"/>
        <v>3.915338155515371</v>
      </c>
      <c r="K205" s="223" t="s">
        <v>152</v>
      </c>
      <c r="L205" s="223" t="s">
        <v>152</v>
      </c>
      <c r="M205" s="226"/>
      <c r="N205" s="227"/>
    </row>
    <row r="206" spans="1:14" x14ac:dyDescent="0.2">
      <c r="A206" s="33" t="s">
        <v>216</v>
      </c>
      <c r="B206" s="54">
        <f t="shared" si="32"/>
        <v>914</v>
      </c>
      <c r="C206" s="54">
        <f t="shared" si="32"/>
        <v>53.7</v>
      </c>
      <c r="D206" s="54">
        <f t="shared" si="32"/>
        <v>860.3</v>
      </c>
      <c r="E206" s="55">
        <f t="shared" si="33"/>
        <v>5.8752735229759301</v>
      </c>
      <c r="F206" s="55">
        <f t="shared" si="34"/>
        <v>34.875043589445546</v>
      </c>
      <c r="G206" s="56">
        <f t="shared" si="35"/>
        <v>30003</v>
      </c>
      <c r="H206" s="49">
        <f t="shared" si="35"/>
        <v>3636.529</v>
      </c>
      <c r="I206" s="57">
        <f t="shared" si="36"/>
        <v>12.120551278205513</v>
      </c>
      <c r="J206" s="58">
        <f t="shared" si="37"/>
        <v>4.2270475415552715</v>
      </c>
      <c r="K206" s="223" t="s">
        <v>152</v>
      </c>
      <c r="L206" s="223" t="s">
        <v>152</v>
      </c>
      <c r="M206" s="226"/>
      <c r="N206" s="227"/>
    </row>
    <row r="207" spans="1:14" x14ac:dyDescent="0.2">
      <c r="A207" s="33" t="s">
        <v>217</v>
      </c>
      <c r="B207" s="54">
        <f t="shared" si="32"/>
        <v>947.1</v>
      </c>
      <c r="C207" s="54">
        <f t="shared" si="32"/>
        <v>58.800000000000004</v>
      </c>
      <c r="D207" s="54">
        <f t="shared" si="32"/>
        <v>888.3</v>
      </c>
      <c r="E207" s="55">
        <f t="shared" si="33"/>
        <v>6.2084257206208431</v>
      </c>
      <c r="F207" s="55">
        <f t="shared" si="34"/>
        <v>36.860294945401328</v>
      </c>
      <c r="G207" s="56">
        <f t="shared" si="35"/>
        <v>32743</v>
      </c>
      <c r="H207" s="49">
        <f t="shared" si="35"/>
        <v>3849.3589999999999</v>
      </c>
      <c r="I207" s="57">
        <f t="shared" si="36"/>
        <v>11.756280731759459</v>
      </c>
      <c r="J207" s="58">
        <f t="shared" si="37"/>
        <v>4.3333997523359225</v>
      </c>
      <c r="K207" s="223" t="s">
        <v>152</v>
      </c>
      <c r="L207" s="223" t="s">
        <v>152</v>
      </c>
      <c r="M207" s="226"/>
      <c r="N207" s="227"/>
    </row>
    <row r="208" spans="1:14" x14ac:dyDescent="0.2">
      <c r="A208" s="33" t="s">
        <v>291</v>
      </c>
      <c r="B208" s="54">
        <f t="shared" si="32"/>
        <v>993.3</v>
      </c>
      <c r="C208" s="54">
        <f t="shared" si="32"/>
        <v>51.9</v>
      </c>
      <c r="D208" s="54">
        <f t="shared" si="32"/>
        <v>941.4</v>
      </c>
      <c r="E208" s="55">
        <f t="shared" si="33"/>
        <v>5.2250075505889466</v>
      </c>
      <c r="F208" s="55">
        <f t="shared" si="34"/>
        <v>35.667091565753132</v>
      </c>
      <c r="G208" s="56">
        <f t="shared" si="35"/>
        <v>33577</v>
      </c>
      <c r="H208" s="49">
        <f t="shared" si="35"/>
        <v>4127.2839999999997</v>
      </c>
      <c r="I208" s="57">
        <f t="shared" si="36"/>
        <v>12.291997498287516</v>
      </c>
      <c r="J208" s="58">
        <f t="shared" si="37"/>
        <v>4.3841980029742933</v>
      </c>
      <c r="K208" s="223" t="s">
        <v>152</v>
      </c>
      <c r="L208" s="223" t="s">
        <v>152</v>
      </c>
      <c r="M208" s="226"/>
      <c r="N208" s="227"/>
    </row>
    <row r="209" spans="1:14" x14ac:dyDescent="0.2">
      <c r="A209" s="33" t="s">
        <v>292</v>
      </c>
      <c r="B209" s="54">
        <f t="shared" ref="B209:D225" si="38">B29+B76+B116+B163</f>
        <v>1023.3</v>
      </c>
      <c r="C209" s="54">
        <f t="shared" si="38"/>
        <v>46.599999999999994</v>
      </c>
      <c r="D209" s="54">
        <f t="shared" si="38"/>
        <v>976.7</v>
      </c>
      <c r="E209" s="55">
        <f t="shared" si="33"/>
        <v>4.5538942636567965</v>
      </c>
      <c r="F209" s="55">
        <f t="shared" si="34"/>
        <v>35.109040647076888</v>
      </c>
      <c r="G209" s="56">
        <f t="shared" ref="G209:H225" si="39">G29+G76+G116+G163</f>
        <v>34291</v>
      </c>
      <c r="H209" s="49">
        <f t="shared" si="39"/>
        <v>4127.7749999999996</v>
      </c>
      <c r="I209" s="57">
        <f t="shared" si="36"/>
        <v>12.037487970604531</v>
      </c>
      <c r="J209" s="58">
        <f t="shared" si="37"/>
        <v>4.2262465444865356</v>
      </c>
      <c r="K209" s="223" t="s">
        <v>152</v>
      </c>
      <c r="L209" s="223" t="s">
        <v>152</v>
      </c>
      <c r="M209" s="226"/>
      <c r="N209" s="227"/>
    </row>
    <row r="210" spans="1:14" x14ac:dyDescent="0.2">
      <c r="A210" s="33" t="s">
        <v>293</v>
      </c>
      <c r="B210" s="54">
        <f t="shared" si="38"/>
        <v>1027.8</v>
      </c>
      <c r="C210" s="54">
        <f t="shared" si="38"/>
        <v>57.5</v>
      </c>
      <c r="D210" s="54">
        <f t="shared" si="38"/>
        <v>970.3</v>
      </c>
      <c r="E210" s="55">
        <f t="shared" si="33"/>
        <v>5.5944736330025302</v>
      </c>
      <c r="F210" s="55">
        <f t="shared" si="34"/>
        <v>33.778212923837991</v>
      </c>
      <c r="G210" s="56">
        <f t="shared" si="39"/>
        <v>32775</v>
      </c>
      <c r="H210" s="49">
        <f t="shared" si="39"/>
        <v>3998.1859999999997</v>
      </c>
      <c r="I210" s="57">
        <f t="shared" si="36"/>
        <v>12.198889397406559</v>
      </c>
      <c r="J210" s="58">
        <f t="shared" si="37"/>
        <v>4.1205668349994848</v>
      </c>
      <c r="K210" s="223" t="s">
        <v>152</v>
      </c>
      <c r="L210" s="223" t="s">
        <v>152</v>
      </c>
      <c r="M210" s="226"/>
      <c r="N210" s="227"/>
    </row>
    <row r="211" spans="1:14" s="63" customFormat="1" x14ac:dyDescent="0.2">
      <c r="A211" s="33" t="s">
        <v>294</v>
      </c>
      <c r="B211" s="54">
        <f t="shared" si="38"/>
        <v>1023.2</v>
      </c>
      <c r="C211" s="54">
        <f t="shared" si="38"/>
        <v>51.3</v>
      </c>
      <c r="D211" s="54">
        <f t="shared" si="38"/>
        <v>971.9</v>
      </c>
      <c r="E211" s="55">
        <f t="shared" si="33"/>
        <v>5.0136825645035179</v>
      </c>
      <c r="F211" s="55">
        <f t="shared" si="34"/>
        <v>34.883218438110916</v>
      </c>
      <c r="G211" s="56">
        <f t="shared" si="39"/>
        <v>33903</v>
      </c>
      <c r="H211" s="49">
        <f t="shared" si="39"/>
        <v>3922.7910000000006</v>
      </c>
      <c r="I211" s="57">
        <f t="shared" si="36"/>
        <v>11.570630917617912</v>
      </c>
      <c r="J211" s="58">
        <f t="shared" si="37"/>
        <v>4.0362084576602539</v>
      </c>
      <c r="K211" s="223" t="s">
        <v>152</v>
      </c>
      <c r="L211" s="223" t="s">
        <v>152</v>
      </c>
      <c r="M211" s="226"/>
      <c r="N211" s="227"/>
    </row>
    <row r="212" spans="1:14" s="63" customFormat="1" x14ac:dyDescent="0.2">
      <c r="A212" s="35" t="s">
        <v>222</v>
      </c>
      <c r="B212" s="54">
        <f t="shared" si="38"/>
        <v>992.3</v>
      </c>
      <c r="C212" s="54">
        <f t="shared" si="38"/>
        <v>61.7</v>
      </c>
      <c r="D212" s="54">
        <f t="shared" si="38"/>
        <v>930.6</v>
      </c>
      <c r="E212" s="55">
        <f t="shared" si="33"/>
        <v>6.2178776579663415</v>
      </c>
      <c r="F212" s="55">
        <f t="shared" si="34"/>
        <v>34.324091983666449</v>
      </c>
      <c r="G212" s="56">
        <f t="shared" si="39"/>
        <v>31942</v>
      </c>
      <c r="H212" s="49">
        <f t="shared" si="39"/>
        <v>4006.837</v>
      </c>
      <c r="I212" s="57">
        <f t="shared" si="36"/>
        <v>12.544101809529772</v>
      </c>
      <c r="J212" s="58">
        <f t="shared" si="37"/>
        <v>4.305649043627767</v>
      </c>
      <c r="K212" s="223" t="s">
        <v>152</v>
      </c>
      <c r="L212" s="223" t="s">
        <v>152</v>
      </c>
      <c r="M212" s="226"/>
      <c r="N212" s="227"/>
    </row>
    <row r="213" spans="1:14" s="63" customFormat="1" x14ac:dyDescent="0.2">
      <c r="A213" s="35" t="s">
        <v>223</v>
      </c>
      <c r="B213" s="54">
        <f t="shared" si="38"/>
        <v>938.2</v>
      </c>
      <c r="C213" s="54">
        <f t="shared" si="38"/>
        <v>58.699999999999996</v>
      </c>
      <c r="D213" s="54">
        <f t="shared" si="38"/>
        <v>879.5</v>
      </c>
      <c r="E213" s="55">
        <f t="shared" si="33"/>
        <v>6.2566616926028553</v>
      </c>
      <c r="F213" s="55">
        <f t="shared" si="34"/>
        <v>30.975554292211484</v>
      </c>
      <c r="G213" s="56">
        <f t="shared" si="39"/>
        <v>27243</v>
      </c>
      <c r="H213" s="49">
        <f t="shared" si="39"/>
        <v>3304.5230000000001</v>
      </c>
      <c r="I213" s="57">
        <f t="shared" si="36"/>
        <v>12.129805821678964</v>
      </c>
      <c r="J213" s="58">
        <f t="shared" si="37"/>
        <v>3.7572745878339968</v>
      </c>
      <c r="K213" s="223" t="s">
        <v>152</v>
      </c>
      <c r="L213" s="223" t="s">
        <v>152</v>
      </c>
      <c r="M213" s="226"/>
      <c r="N213" s="227"/>
    </row>
    <row r="214" spans="1:14" s="63" customFormat="1" x14ac:dyDescent="0.2">
      <c r="A214" s="35" t="s">
        <v>224</v>
      </c>
      <c r="B214" s="54">
        <f t="shared" si="38"/>
        <v>921.9</v>
      </c>
      <c r="C214" s="54">
        <f t="shared" si="38"/>
        <v>63.699999999999996</v>
      </c>
      <c r="D214" s="54">
        <f t="shared" si="38"/>
        <v>858.2</v>
      </c>
      <c r="E214" s="55">
        <f t="shared" si="33"/>
        <v>6.9096431283219433</v>
      </c>
      <c r="F214" s="55">
        <f t="shared" si="34"/>
        <v>28.813796317874619</v>
      </c>
      <c r="G214" s="56">
        <f t="shared" si="39"/>
        <v>24728</v>
      </c>
      <c r="H214" s="49">
        <f t="shared" si="39"/>
        <v>2983.4450000000002</v>
      </c>
      <c r="I214" s="57">
        <f t="shared" si="36"/>
        <v>12.065047719184731</v>
      </c>
      <c r="J214" s="58">
        <f t="shared" si="37"/>
        <v>3.4763982754602658</v>
      </c>
      <c r="K214" s="223" t="s">
        <v>152</v>
      </c>
      <c r="L214" s="223" t="s">
        <v>152</v>
      </c>
      <c r="M214" s="226"/>
      <c r="N214" s="227"/>
    </row>
    <row r="215" spans="1:14" s="63" customFormat="1" x14ac:dyDescent="0.2">
      <c r="A215" s="33" t="s">
        <v>225</v>
      </c>
      <c r="B215" s="54">
        <f t="shared" si="38"/>
        <v>897.7</v>
      </c>
      <c r="C215" s="54">
        <f t="shared" si="38"/>
        <v>51.1</v>
      </c>
      <c r="D215" s="54">
        <f t="shared" si="38"/>
        <v>846.6</v>
      </c>
      <c r="E215" s="55">
        <f t="shared" si="33"/>
        <v>5.6923248301214215</v>
      </c>
      <c r="F215" s="55">
        <f t="shared" si="34"/>
        <v>33.02858492794708</v>
      </c>
      <c r="G215" s="56">
        <f t="shared" si="39"/>
        <v>27962</v>
      </c>
      <c r="H215" s="49">
        <f t="shared" si="39"/>
        <v>3391.1460000000002</v>
      </c>
      <c r="I215" s="57">
        <f t="shared" si="36"/>
        <v>12.12769472856019</v>
      </c>
      <c r="J215" s="58">
        <f t="shared" si="37"/>
        <v>4.0056059532246637</v>
      </c>
      <c r="K215" s="223" t="s">
        <v>152</v>
      </c>
      <c r="L215" s="223" t="s">
        <v>152</v>
      </c>
      <c r="M215" s="226"/>
      <c r="N215" s="227"/>
    </row>
    <row r="216" spans="1:14" s="63" customFormat="1" x14ac:dyDescent="0.2">
      <c r="A216" s="33" t="s">
        <v>226</v>
      </c>
      <c r="B216" s="54">
        <f t="shared" si="38"/>
        <v>879.6</v>
      </c>
      <c r="C216" s="54">
        <f t="shared" si="38"/>
        <v>51.7</v>
      </c>
      <c r="D216" s="54">
        <f t="shared" si="38"/>
        <v>827.9</v>
      </c>
      <c r="E216" s="55">
        <f t="shared" si="33"/>
        <v>5.8776716689404278</v>
      </c>
      <c r="F216" s="55">
        <f t="shared" si="34"/>
        <v>34.150259693199665</v>
      </c>
      <c r="G216" s="56">
        <f t="shared" si="39"/>
        <v>28273</v>
      </c>
      <c r="H216" s="49">
        <f t="shared" si="39"/>
        <v>3495.7740000000003</v>
      </c>
      <c r="I216" s="57">
        <f t="shared" si="36"/>
        <v>12.3643546846815</v>
      </c>
      <c r="J216" s="58">
        <f t="shared" si="37"/>
        <v>4.2224592342070304</v>
      </c>
      <c r="K216" s="223" t="s">
        <v>152</v>
      </c>
      <c r="L216" s="223" t="s">
        <v>152</v>
      </c>
      <c r="M216" s="226"/>
      <c r="N216" s="227"/>
    </row>
    <row r="217" spans="1:14" s="63" customFormat="1" x14ac:dyDescent="0.2">
      <c r="A217" s="33" t="s">
        <v>227</v>
      </c>
      <c r="B217" s="54">
        <f t="shared" si="38"/>
        <v>868</v>
      </c>
      <c r="C217" s="54">
        <f t="shared" si="38"/>
        <v>46.400000000000006</v>
      </c>
      <c r="D217" s="54">
        <f t="shared" si="38"/>
        <v>821.6</v>
      </c>
      <c r="E217" s="55">
        <f t="shared" ref="E217:E228" si="40">100*C217/B217</f>
        <v>5.345622119815669</v>
      </c>
      <c r="F217" s="55">
        <f t="shared" si="34"/>
        <v>31.805014605647518</v>
      </c>
      <c r="G217" s="56">
        <f t="shared" si="39"/>
        <v>26131</v>
      </c>
      <c r="H217" s="49">
        <f t="shared" si="39"/>
        <v>3310.9799999999996</v>
      </c>
      <c r="I217" s="57">
        <f t="shared" ref="I217:I228" si="41">100*H217/G217</f>
        <v>12.67069763881979</v>
      </c>
      <c r="J217" s="58">
        <f t="shared" si="37"/>
        <v>4.0299172346640697</v>
      </c>
      <c r="K217" s="223" t="s">
        <v>152</v>
      </c>
      <c r="L217" s="223" t="s">
        <v>152</v>
      </c>
      <c r="M217" s="226"/>
      <c r="N217" s="227"/>
    </row>
    <row r="218" spans="1:14" s="63" customFormat="1" x14ac:dyDescent="0.2">
      <c r="A218" s="35" t="s">
        <v>228</v>
      </c>
      <c r="B218" s="54">
        <f t="shared" si="38"/>
        <v>873.90000000000009</v>
      </c>
      <c r="C218" s="54">
        <f t="shared" si="38"/>
        <v>56.9</v>
      </c>
      <c r="D218" s="54">
        <f t="shared" si="38"/>
        <v>817</v>
      </c>
      <c r="E218" s="55">
        <f t="shared" si="40"/>
        <v>6.5110424533699502</v>
      </c>
      <c r="F218" s="55">
        <f t="shared" si="34"/>
        <v>34.864137086903305</v>
      </c>
      <c r="G218" s="56">
        <f t="shared" si="39"/>
        <v>28484</v>
      </c>
      <c r="H218" s="49">
        <f t="shared" si="39"/>
        <v>3379.5670000000005</v>
      </c>
      <c r="I218" s="57">
        <f t="shared" si="41"/>
        <v>11.864790759724761</v>
      </c>
      <c r="J218" s="58">
        <f t="shared" si="37"/>
        <v>4.1365569155446762</v>
      </c>
      <c r="K218" s="223" t="s">
        <v>152</v>
      </c>
      <c r="L218" s="223" t="s">
        <v>152</v>
      </c>
      <c r="M218" s="226"/>
      <c r="N218" s="227"/>
    </row>
    <row r="219" spans="1:14" s="63" customFormat="1" x14ac:dyDescent="0.2">
      <c r="A219" s="35" t="s">
        <v>229</v>
      </c>
      <c r="B219" s="54">
        <f t="shared" si="38"/>
        <v>877.5</v>
      </c>
      <c r="C219" s="54">
        <f t="shared" si="38"/>
        <v>52.2</v>
      </c>
      <c r="D219" s="54">
        <f t="shared" si="38"/>
        <v>825.3</v>
      </c>
      <c r="E219" s="55">
        <f t="shared" si="40"/>
        <v>5.9487179487179489</v>
      </c>
      <c r="F219" s="55">
        <f t="shared" si="34"/>
        <v>31.095359263298196</v>
      </c>
      <c r="G219" s="56">
        <f t="shared" si="39"/>
        <v>25663</v>
      </c>
      <c r="H219" s="49">
        <f t="shared" si="39"/>
        <v>3155.1260000000002</v>
      </c>
      <c r="I219" s="57">
        <f t="shared" si="41"/>
        <v>12.294455052020419</v>
      </c>
      <c r="J219" s="58">
        <f t="shared" si="37"/>
        <v>3.8230049678904647</v>
      </c>
      <c r="K219" s="223" t="s">
        <v>152</v>
      </c>
      <c r="L219" s="223" t="s">
        <v>152</v>
      </c>
      <c r="M219" s="226"/>
      <c r="N219" s="227"/>
    </row>
    <row r="220" spans="1:14" s="63" customFormat="1" x14ac:dyDescent="0.2">
      <c r="A220" s="35" t="s">
        <v>230</v>
      </c>
      <c r="B220" s="54">
        <f t="shared" si="38"/>
        <v>872.6</v>
      </c>
      <c r="C220" s="54">
        <f t="shared" si="38"/>
        <v>45.5</v>
      </c>
      <c r="D220" s="54">
        <f t="shared" si="38"/>
        <v>827.1</v>
      </c>
      <c r="E220" s="55">
        <f t="shared" si="40"/>
        <v>5.214302085720834</v>
      </c>
      <c r="F220" s="55">
        <f t="shared" si="34"/>
        <v>33.536452665941241</v>
      </c>
      <c r="G220" s="56">
        <f t="shared" si="39"/>
        <v>27738</v>
      </c>
      <c r="H220" s="49">
        <f t="shared" si="39"/>
        <v>3567.6890000000003</v>
      </c>
      <c r="I220" s="57">
        <f t="shared" si="41"/>
        <v>12.862098925661549</v>
      </c>
      <c r="J220" s="58">
        <f t="shared" si="37"/>
        <v>4.3134917180510222</v>
      </c>
      <c r="K220" s="223" t="s">
        <v>152</v>
      </c>
      <c r="L220" s="223" t="s">
        <v>152</v>
      </c>
      <c r="M220" s="226"/>
      <c r="N220" s="227"/>
    </row>
    <row r="221" spans="1:14" s="63" customFormat="1" x14ac:dyDescent="0.2">
      <c r="A221" s="35" t="s">
        <v>231</v>
      </c>
      <c r="B221" s="54">
        <f t="shared" si="38"/>
        <v>902.4</v>
      </c>
      <c r="C221" s="54">
        <f t="shared" si="38"/>
        <v>47.5</v>
      </c>
      <c r="D221" s="54">
        <f t="shared" si="38"/>
        <v>854.9</v>
      </c>
      <c r="E221" s="55">
        <f t="shared" si="40"/>
        <v>5.2637411347517729</v>
      </c>
      <c r="F221" s="55">
        <f t="shared" si="34"/>
        <v>35.676687331851682</v>
      </c>
      <c r="G221" s="56">
        <f t="shared" si="39"/>
        <v>30500</v>
      </c>
      <c r="H221" s="49">
        <f t="shared" si="39"/>
        <v>3942.8760000000002</v>
      </c>
      <c r="I221" s="57">
        <f t="shared" si="41"/>
        <v>12.927462295081968</v>
      </c>
      <c r="J221" s="58">
        <f t="shared" si="37"/>
        <v>4.6120903029594107</v>
      </c>
      <c r="K221" s="223" t="s">
        <v>152</v>
      </c>
      <c r="L221" s="223" t="s">
        <v>152</v>
      </c>
      <c r="M221" s="226"/>
      <c r="N221" s="227"/>
    </row>
    <row r="222" spans="1:14" s="63" customFormat="1" x14ac:dyDescent="0.2">
      <c r="A222" s="33" t="s">
        <v>232</v>
      </c>
      <c r="B222" s="54">
        <f t="shared" si="38"/>
        <v>910.80000000000007</v>
      </c>
      <c r="C222" s="54">
        <f t="shared" si="38"/>
        <v>51.300000000000004</v>
      </c>
      <c r="D222" s="54">
        <f t="shared" si="38"/>
        <v>859.5</v>
      </c>
      <c r="E222" s="55">
        <f t="shared" si="40"/>
        <v>5.6324110671936758</v>
      </c>
      <c r="F222" s="55">
        <f t="shared" si="34"/>
        <v>33.767306573589295</v>
      </c>
      <c r="G222" s="56">
        <f t="shared" si="39"/>
        <v>29023</v>
      </c>
      <c r="H222" s="49">
        <f t="shared" si="39"/>
        <v>3670.9879999999998</v>
      </c>
      <c r="I222" s="57">
        <f t="shared" si="41"/>
        <v>12.648547703545464</v>
      </c>
      <c r="J222" s="58">
        <f t="shared" si="37"/>
        <v>4.2710738801628851</v>
      </c>
      <c r="K222" s="223" t="s">
        <v>152</v>
      </c>
      <c r="L222" s="223" t="s">
        <v>152</v>
      </c>
      <c r="M222" s="226"/>
      <c r="N222" s="227"/>
    </row>
    <row r="223" spans="1:14" s="63" customFormat="1" x14ac:dyDescent="0.2">
      <c r="A223" s="60" t="s">
        <v>233</v>
      </c>
      <c r="B223" s="54">
        <f t="shared" si="38"/>
        <v>868.5</v>
      </c>
      <c r="C223" s="54">
        <f t="shared" si="38"/>
        <v>44.800000000000004</v>
      </c>
      <c r="D223" s="54">
        <f t="shared" si="38"/>
        <v>823.7</v>
      </c>
      <c r="E223" s="55">
        <f t="shared" si="40"/>
        <v>5.15831894070236</v>
      </c>
      <c r="F223" s="55">
        <f t="shared" si="34"/>
        <v>35.079519242442636</v>
      </c>
      <c r="G223" s="56">
        <f t="shared" si="39"/>
        <v>28895</v>
      </c>
      <c r="H223" s="49">
        <f t="shared" si="39"/>
        <v>3764.1970000000001</v>
      </c>
      <c r="I223" s="57">
        <f t="shared" si="41"/>
        <v>13.027156947568784</v>
      </c>
      <c r="J223" s="58">
        <f t="shared" si="37"/>
        <v>4.5698640281655942</v>
      </c>
      <c r="K223" s="223" t="s">
        <v>152</v>
      </c>
      <c r="L223" s="223" t="s">
        <v>152</v>
      </c>
      <c r="M223" s="226"/>
      <c r="N223" s="227"/>
    </row>
    <row r="224" spans="1:14" s="63" customFormat="1" x14ac:dyDescent="0.2">
      <c r="A224" s="60" t="s">
        <v>234</v>
      </c>
      <c r="B224" s="54">
        <f t="shared" si="38"/>
        <v>874.7</v>
      </c>
      <c r="C224" s="54">
        <f t="shared" si="38"/>
        <v>43.6</v>
      </c>
      <c r="D224" s="54">
        <f t="shared" si="38"/>
        <v>831.1</v>
      </c>
      <c r="E224" s="55">
        <f t="shared" si="40"/>
        <v>4.9845661369612433</v>
      </c>
      <c r="F224" s="55">
        <f t="shared" si="34"/>
        <v>36.76452893755264</v>
      </c>
      <c r="G224" s="56">
        <f t="shared" si="39"/>
        <v>30555</v>
      </c>
      <c r="H224" s="49">
        <f t="shared" si="39"/>
        <v>3856.7189999999996</v>
      </c>
      <c r="I224" s="57">
        <f t="shared" si="41"/>
        <v>12.622218949435442</v>
      </c>
      <c r="J224" s="58">
        <f t="shared" si="37"/>
        <v>4.6404993382264461</v>
      </c>
      <c r="K224" s="223" t="s">
        <v>152</v>
      </c>
      <c r="L224" s="223" t="s">
        <v>152</v>
      </c>
      <c r="M224" s="226"/>
      <c r="N224" s="227"/>
    </row>
    <row r="225" spans="1:28" s="63" customFormat="1" x14ac:dyDescent="0.2">
      <c r="A225" s="60" t="s">
        <v>235</v>
      </c>
      <c r="B225" s="54">
        <f t="shared" si="38"/>
        <v>903.1</v>
      </c>
      <c r="C225" s="54">
        <f t="shared" si="38"/>
        <v>49.9</v>
      </c>
      <c r="D225" s="54">
        <f t="shared" si="38"/>
        <v>853.2</v>
      </c>
      <c r="E225" s="55">
        <f t="shared" si="40"/>
        <v>5.5254124681652081</v>
      </c>
      <c r="F225" s="61">
        <f t="shared" si="34"/>
        <v>35.596577590248472</v>
      </c>
      <c r="G225" s="56">
        <f t="shared" si="39"/>
        <v>30371</v>
      </c>
      <c r="H225" s="49">
        <f t="shared" si="39"/>
        <v>3855.7069999999999</v>
      </c>
      <c r="I225" s="64">
        <f t="shared" si="41"/>
        <v>12.695357413321918</v>
      </c>
      <c r="J225" s="58">
        <f t="shared" si="37"/>
        <v>4.5191127519924983</v>
      </c>
      <c r="K225" s="223" t="s">
        <v>152</v>
      </c>
      <c r="L225" s="223" t="s">
        <v>152</v>
      </c>
      <c r="M225" s="226"/>
      <c r="N225" s="227"/>
    </row>
    <row r="226" spans="1:28" s="63" customFormat="1" x14ac:dyDescent="0.2">
      <c r="A226" s="60" t="s">
        <v>236</v>
      </c>
      <c r="B226" s="54">
        <f>B46+B93+B133+B180</f>
        <v>904.09999999999991</v>
      </c>
      <c r="C226" s="54">
        <f t="shared" ref="C226:D233" si="42">C46+C133+C180</f>
        <v>52.600000000000009</v>
      </c>
      <c r="D226" s="54">
        <f t="shared" si="42"/>
        <v>851.5</v>
      </c>
      <c r="E226" s="55">
        <f t="shared" si="40"/>
        <v>5.8179404933082637</v>
      </c>
      <c r="F226" s="61">
        <f t="shared" si="34"/>
        <v>36.620082207868471</v>
      </c>
      <c r="G226" s="56">
        <f t="shared" ref="G226:G232" si="43">G46+G133+G180</f>
        <v>31182</v>
      </c>
      <c r="H226" s="49">
        <f>H46+H93+H133+H180</f>
        <v>4016.6679999999997</v>
      </c>
      <c r="I226" s="64">
        <f t="shared" si="41"/>
        <v>12.88136745558335</v>
      </c>
      <c r="J226" s="58">
        <f t="shared" si="37"/>
        <v>4.717167351732237</v>
      </c>
      <c r="K226" s="223" t="s">
        <v>152</v>
      </c>
      <c r="L226" s="223" t="s">
        <v>152</v>
      </c>
      <c r="M226" s="226"/>
      <c r="N226" s="227"/>
    </row>
    <row r="227" spans="1:28" s="63" customFormat="1" x14ac:dyDescent="0.2">
      <c r="A227" s="60" t="s">
        <v>237</v>
      </c>
      <c r="B227" s="54">
        <f t="shared" ref="B227:B233" si="44">B47+B134+B181</f>
        <v>899.69999999999993</v>
      </c>
      <c r="C227" s="54">
        <f t="shared" si="42"/>
        <v>40.100000000000009</v>
      </c>
      <c r="D227" s="54">
        <f t="shared" si="42"/>
        <v>859.6</v>
      </c>
      <c r="E227" s="55">
        <f t="shared" si="40"/>
        <v>4.4570412359675462</v>
      </c>
      <c r="F227" s="61">
        <f t="shared" si="34"/>
        <v>38.313168915774781</v>
      </c>
      <c r="G227" s="56">
        <f t="shared" si="43"/>
        <v>32934</v>
      </c>
      <c r="H227" s="49">
        <f t="shared" ref="H227:H232" si="45">H47+H134+H181</f>
        <v>4028.7400000000002</v>
      </c>
      <c r="I227" s="64">
        <f t="shared" si="41"/>
        <v>12.232768567437907</v>
      </c>
      <c r="J227" s="58">
        <f t="shared" si="37"/>
        <v>4.6867612843182878</v>
      </c>
      <c r="K227" s="223" t="s">
        <v>152</v>
      </c>
      <c r="L227" s="223" t="s">
        <v>152</v>
      </c>
      <c r="M227" s="226"/>
      <c r="N227" s="227"/>
    </row>
    <row r="228" spans="1:28" x14ac:dyDescent="0.2">
      <c r="A228" s="60" t="s">
        <v>238</v>
      </c>
      <c r="B228" s="54">
        <f t="shared" si="44"/>
        <v>913.2</v>
      </c>
      <c r="C228" s="54">
        <f t="shared" si="42"/>
        <v>42.599999999999987</v>
      </c>
      <c r="D228" s="54">
        <f t="shared" si="42"/>
        <v>870.6</v>
      </c>
      <c r="E228" s="55">
        <f t="shared" si="40"/>
        <v>4.6649145860709584</v>
      </c>
      <c r="F228" s="61">
        <f t="shared" si="34"/>
        <v>34.788651504709392</v>
      </c>
      <c r="G228" s="56">
        <f t="shared" si="43"/>
        <v>30287</v>
      </c>
      <c r="H228" s="49">
        <f t="shared" si="45"/>
        <v>3790.2490000000003</v>
      </c>
      <c r="I228" s="64">
        <f t="shared" si="41"/>
        <v>12.51444183973322</v>
      </c>
      <c r="J228" s="58">
        <f t="shared" si="37"/>
        <v>4.3536055593843326</v>
      </c>
      <c r="K228" s="223" t="s">
        <v>152</v>
      </c>
      <c r="L228" s="223" t="s">
        <v>152</v>
      </c>
      <c r="M228" s="226"/>
      <c r="N228" s="227"/>
    </row>
    <row r="229" spans="1:28" x14ac:dyDescent="0.2">
      <c r="A229" s="60" t="s">
        <v>239</v>
      </c>
      <c r="B229" s="54">
        <f t="shared" si="44"/>
        <v>947.6</v>
      </c>
      <c r="C229" s="54">
        <f t="shared" si="42"/>
        <v>44.199999999999989</v>
      </c>
      <c r="D229" s="54">
        <f t="shared" si="42"/>
        <v>903.4</v>
      </c>
      <c r="E229" s="55">
        <f>100*C229/B229</f>
        <v>4.6644153651329665</v>
      </c>
      <c r="F229" s="61">
        <f>G229/D229</f>
        <v>38.009740978525571</v>
      </c>
      <c r="G229" s="56">
        <f t="shared" si="43"/>
        <v>34338</v>
      </c>
      <c r="H229" s="49">
        <f t="shared" si="45"/>
        <v>4199.4750000000004</v>
      </c>
      <c r="I229" s="64">
        <f>100*H229/G229</f>
        <v>12.229818277127382</v>
      </c>
      <c r="J229" s="58">
        <f>H229/D229</f>
        <v>4.6485222492804965</v>
      </c>
      <c r="K229" s="223" t="s">
        <v>152</v>
      </c>
      <c r="L229" s="223" t="s">
        <v>152</v>
      </c>
      <c r="M229" s="226"/>
      <c r="N229" s="227"/>
    </row>
    <row r="230" spans="1:28" x14ac:dyDescent="0.2">
      <c r="A230" s="60" t="s">
        <v>350</v>
      </c>
      <c r="B230" s="54">
        <f t="shared" si="44"/>
        <v>935.19999999999993</v>
      </c>
      <c r="C230" s="54">
        <f t="shared" si="42"/>
        <v>46.900000000000013</v>
      </c>
      <c r="D230" s="54">
        <f t="shared" si="42"/>
        <v>888.3</v>
      </c>
      <c r="E230" s="55">
        <f>100*C230/B230</f>
        <v>5.0149700598802411</v>
      </c>
      <c r="F230" s="61">
        <f>ROUND(G230/D230,1)</f>
        <v>34.9</v>
      </c>
      <c r="G230" s="56">
        <f t="shared" si="43"/>
        <v>31021</v>
      </c>
      <c r="H230" s="49">
        <f t="shared" si="45"/>
        <v>3939.694</v>
      </c>
      <c r="I230" s="64">
        <f>100*H230/G230</f>
        <v>12.700087037813095</v>
      </c>
      <c r="J230" s="58">
        <f>H230/D230</f>
        <v>4.4350939997748506</v>
      </c>
      <c r="K230" s="223" t="s">
        <v>152</v>
      </c>
      <c r="L230" s="223" t="s">
        <v>152</v>
      </c>
      <c r="M230" s="226"/>
      <c r="N230" s="227"/>
    </row>
    <row r="231" spans="1:28" x14ac:dyDescent="0.2">
      <c r="A231" s="60" t="s">
        <v>381</v>
      </c>
      <c r="B231" s="54">
        <f t="shared" si="44"/>
        <v>930.2</v>
      </c>
      <c r="C231" s="54">
        <f t="shared" si="42"/>
        <v>39.299999999999997</v>
      </c>
      <c r="D231" s="54">
        <f t="shared" si="42"/>
        <v>890.9</v>
      </c>
      <c r="E231" s="55">
        <f>100*C231/B231</f>
        <v>4.2248978714254992</v>
      </c>
      <c r="F231" s="61">
        <f>ROUND(G231/D231,1)</f>
        <v>37.1</v>
      </c>
      <c r="G231" s="56">
        <f t="shared" si="43"/>
        <v>33090.339999999997</v>
      </c>
      <c r="H231" s="49">
        <f t="shared" si="45"/>
        <v>4132.4930000000004</v>
      </c>
      <c r="I231" s="64">
        <f>100*H231/G231</f>
        <v>12.488517797036842</v>
      </c>
      <c r="J231" s="58">
        <f>H231/D231</f>
        <v>4.6385598832641151</v>
      </c>
      <c r="K231" s="223" t="s">
        <v>152</v>
      </c>
      <c r="L231" s="223" t="s">
        <v>152</v>
      </c>
      <c r="M231" s="226"/>
      <c r="N231" s="227"/>
    </row>
    <row r="232" spans="1:28" x14ac:dyDescent="0.2">
      <c r="A232" s="60" t="s">
        <v>378</v>
      </c>
      <c r="B232" s="54">
        <f t="shared" si="44"/>
        <v>929.6</v>
      </c>
      <c r="C232" s="59">
        <f t="shared" si="42"/>
        <v>41.100000000000023</v>
      </c>
      <c r="D232" s="59">
        <f t="shared" si="42"/>
        <v>888.5</v>
      </c>
      <c r="E232" s="55">
        <f>100*C232/B232</f>
        <v>4.4212564543889865</v>
      </c>
      <c r="F232" s="55">
        <f>ROUND(G232/D232,1)</f>
        <v>36.1</v>
      </c>
      <c r="G232" s="56">
        <f t="shared" si="43"/>
        <v>32113</v>
      </c>
      <c r="H232" s="49">
        <f t="shared" si="45"/>
        <v>4020.8589999999995</v>
      </c>
      <c r="I232" s="57">
        <f>100*H232/G232</f>
        <v>12.520969700744246</v>
      </c>
      <c r="J232" s="58">
        <f>H232/D232</f>
        <v>4.5254462577377597</v>
      </c>
      <c r="K232" s="223" t="s">
        <v>152</v>
      </c>
      <c r="L232" s="223" t="s">
        <v>152</v>
      </c>
      <c r="M232" s="226"/>
      <c r="N232" s="227"/>
    </row>
    <row r="233" spans="1:28" x14ac:dyDescent="0.2">
      <c r="A233" s="151" t="s">
        <v>380</v>
      </c>
      <c r="B233" s="174">
        <f t="shared" si="44"/>
        <v>927.59999999999991</v>
      </c>
      <c r="C233" s="175">
        <f>C53+C140+C187</f>
        <v>40.599999999999966</v>
      </c>
      <c r="D233" s="175">
        <f t="shared" si="42"/>
        <v>887</v>
      </c>
      <c r="E233" s="176">
        <f>100*C233/B233</f>
        <v>4.3768865890469995</v>
      </c>
      <c r="F233" s="176">
        <f>ROUND(G233/D233,1)</f>
        <v>37.4</v>
      </c>
      <c r="G233" s="177">
        <f>G53+G140+G187</f>
        <v>33162.400000000001</v>
      </c>
      <c r="H233" s="129">
        <f>H53+H140</f>
        <v>4128.5730000000003</v>
      </c>
      <c r="I233" s="178">
        <f>100*H233/G233</f>
        <v>12.449560345451475</v>
      </c>
      <c r="J233" s="179">
        <f>H233/D233</f>
        <v>4.654535512965051</v>
      </c>
      <c r="K233" s="190" t="s">
        <v>152</v>
      </c>
      <c r="L233" s="190" t="s">
        <v>152</v>
      </c>
      <c r="M233" s="226"/>
      <c r="N233" s="225"/>
    </row>
    <row r="234" spans="1:28" x14ac:dyDescent="0.2">
      <c r="A234" s="107" t="s">
        <v>430</v>
      </c>
      <c r="B234" s="180"/>
      <c r="C234" s="180"/>
      <c r="D234" s="180"/>
      <c r="E234" s="180"/>
      <c r="F234" s="180"/>
      <c r="G234" s="180"/>
      <c r="H234" s="181"/>
      <c r="I234" s="180"/>
      <c r="J234" s="180"/>
      <c r="K234" s="180"/>
      <c r="L234" s="181"/>
      <c r="M234" s="181"/>
      <c r="N234" s="181"/>
      <c r="O234" s="181"/>
      <c r="P234" s="181"/>
      <c r="Q234" s="181"/>
      <c r="R234" s="181"/>
      <c r="S234" s="181"/>
      <c r="T234" s="181"/>
      <c r="U234" s="21"/>
      <c r="V234" s="21"/>
      <c r="W234" s="21"/>
      <c r="X234" s="21"/>
      <c r="Y234" s="21"/>
      <c r="Z234" s="21"/>
      <c r="AA234" s="21"/>
      <c r="AB234" s="21"/>
    </row>
    <row r="235" spans="1:28" x14ac:dyDescent="0.2">
      <c r="A235" s="107" t="s">
        <v>396</v>
      </c>
      <c r="B235" s="180"/>
      <c r="C235" s="180"/>
      <c r="D235" s="180"/>
      <c r="E235" s="180"/>
      <c r="F235" s="180"/>
      <c r="G235" s="180"/>
      <c r="H235" s="181"/>
      <c r="I235" s="180"/>
      <c r="J235" s="180"/>
      <c r="K235" s="180"/>
      <c r="L235" s="181"/>
      <c r="M235" s="181"/>
      <c r="N235" s="181"/>
      <c r="O235" s="181"/>
      <c r="P235" s="181"/>
      <c r="Q235" s="181"/>
      <c r="R235" s="181"/>
      <c r="S235" s="181"/>
      <c r="T235" s="181"/>
      <c r="U235" s="21"/>
      <c r="V235" s="21"/>
      <c r="W235" s="21"/>
      <c r="X235" s="21"/>
      <c r="Y235" s="21"/>
      <c r="Z235" s="21"/>
      <c r="AA235" s="21"/>
      <c r="AB235" s="21"/>
    </row>
    <row r="236" spans="1:28" x14ac:dyDescent="0.2">
      <c r="A236" s="35" t="s">
        <v>429</v>
      </c>
      <c r="B236" s="54"/>
      <c r="C236" s="54"/>
      <c r="D236" s="54"/>
      <c r="E236" s="55"/>
      <c r="F236" s="55"/>
      <c r="G236" s="56"/>
      <c r="I236" s="57"/>
      <c r="J236" s="58"/>
      <c r="K236" s="33"/>
    </row>
    <row r="237" spans="1:28" x14ac:dyDescent="0.2">
      <c r="A237" s="33" t="s">
        <v>339</v>
      </c>
      <c r="B237" s="54"/>
      <c r="C237" s="54"/>
      <c r="D237" s="54"/>
      <c r="E237" s="55"/>
      <c r="F237" s="55"/>
      <c r="G237" s="56"/>
      <c r="I237" s="57"/>
      <c r="J237" s="58"/>
      <c r="K237" s="33"/>
    </row>
    <row r="238" spans="1:28" x14ac:dyDescent="0.2">
      <c r="A238" s="107" t="s">
        <v>376</v>
      </c>
      <c r="B238" s="182"/>
      <c r="C238" s="182"/>
      <c r="D238" s="182"/>
      <c r="E238" s="182"/>
      <c r="F238" s="182"/>
      <c r="G238" s="182"/>
      <c r="H238" s="182"/>
      <c r="I238" s="182"/>
      <c r="J238" s="182"/>
      <c r="K238" s="182"/>
      <c r="L238" s="183"/>
      <c r="M238" s="183"/>
      <c r="N238" s="183"/>
      <c r="O238" s="184"/>
      <c r="P238" s="184"/>
      <c r="Q238" s="184"/>
      <c r="R238" s="184"/>
      <c r="S238" s="184"/>
      <c r="T238" s="185"/>
      <c r="U238" s="184"/>
    </row>
    <row r="239" spans="1:28" x14ac:dyDescent="0.2">
      <c r="A239" s="107" t="s">
        <v>382</v>
      </c>
      <c r="B239" s="182"/>
      <c r="C239" s="182"/>
      <c r="D239" s="182"/>
      <c r="E239" s="182"/>
      <c r="F239" s="182"/>
      <c r="G239" s="182"/>
      <c r="H239" s="182"/>
      <c r="I239" s="182"/>
      <c r="J239" s="182"/>
      <c r="K239" s="182"/>
      <c r="L239" s="183"/>
      <c r="M239" s="183"/>
      <c r="N239" s="183"/>
      <c r="O239" s="184"/>
      <c r="P239" s="184"/>
      <c r="Q239" s="184"/>
      <c r="R239" s="184"/>
      <c r="S239" s="184"/>
      <c r="T239" s="185"/>
      <c r="U239" s="184"/>
    </row>
    <row r="240" spans="1:28" x14ac:dyDescent="0.2">
      <c r="A240" s="33" t="s">
        <v>388</v>
      </c>
      <c r="B240" s="54"/>
      <c r="C240" s="54"/>
      <c r="D240" s="54"/>
      <c r="E240" s="55"/>
      <c r="F240" s="55"/>
      <c r="G240" s="56"/>
      <c r="I240" s="57"/>
      <c r="J240" s="58"/>
    </row>
    <row r="241" spans="1:10" x14ac:dyDescent="0.2">
      <c r="A241" s="35" t="s">
        <v>408</v>
      </c>
      <c r="B241" s="54"/>
      <c r="C241" s="54"/>
      <c r="D241" s="54"/>
      <c r="E241" s="55"/>
      <c r="F241" s="55"/>
      <c r="G241" s="56"/>
      <c r="I241" s="57"/>
      <c r="J241" s="58"/>
    </row>
    <row r="242" spans="1:10" x14ac:dyDescent="0.2">
      <c r="A242" s="35" t="s">
        <v>332</v>
      </c>
    </row>
  </sheetData>
  <pageMargins left="0.75" right="0.75" top="1" bottom="1" header="0.5" footer="0.5"/>
  <pageSetup scale="58" orientation="portrait" r:id="rId1"/>
  <headerFooter alignWithMargins="0"/>
  <rowBreaks count="1" manualBreakCount="1">
    <brk id="136" max="9"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949E8A-4A6E-43BE-A2D3-7F72F9CFA614}">
  <dimension ref="A1:AB66"/>
  <sheetViews>
    <sheetView workbookViewId="0">
      <pane xSplit="1" ySplit="4" topLeftCell="B5" activePane="bottomRight" state="frozen"/>
      <selection pane="topRight" activeCell="B1" sqref="B1"/>
      <selection pane="bottomLeft" activeCell="A5" sqref="A5"/>
      <selection pane="bottomRight"/>
    </sheetView>
  </sheetViews>
  <sheetFormatPr defaultRowHeight="11.25" x14ac:dyDescent="0.2"/>
  <cols>
    <col min="1" max="1" width="14.7109375" style="228" customWidth="1"/>
    <col min="2" max="4" width="14.28515625" style="228" customWidth="1"/>
    <col min="5" max="5" width="1.42578125" style="228" customWidth="1"/>
    <col min="6" max="8" width="14.28515625" style="228" customWidth="1"/>
    <col min="9" max="9" width="11.140625" style="228" bestFit="1" customWidth="1"/>
    <col min="10" max="10" width="10.28515625" style="229" bestFit="1" customWidth="1"/>
    <col min="11" max="11" width="14.5703125" style="228" bestFit="1" customWidth="1"/>
    <col min="12" max="12" width="8.42578125" style="228" bestFit="1" customWidth="1"/>
    <col min="13" max="13" width="8" style="228" customWidth="1"/>
    <col min="14" max="14" width="19.140625" style="228" bestFit="1" customWidth="1"/>
    <col min="15" max="256" width="9.140625" style="228"/>
    <col min="257" max="257" width="14.7109375" style="228" customWidth="1"/>
    <col min="258" max="260" width="14.28515625" style="228" customWidth="1"/>
    <col min="261" max="261" width="1.42578125" style="228" customWidth="1"/>
    <col min="262" max="264" width="14.28515625" style="228" customWidth="1"/>
    <col min="265" max="269" width="8" style="228" customWidth="1"/>
    <col min="270" max="512" width="9.140625" style="228"/>
    <col min="513" max="513" width="14.7109375" style="228" customWidth="1"/>
    <col min="514" max="516" width="14.28515625" style="228" customWidth="1"/>
    <col min="517" max="517" width="1.42578125" style="228" customWidth="1"/>
    <col min="518" max="520" width="14.28515625" style="228" customWidth="1"/>
    <col min="521" max="525" width="8" style="228" customWidth="1"/>
    <col min="526" max="768" width="9.140625" style="228"/>
    <col min="769" max="769" width="14.7109375" style="228" customWidth="1"/>
    <col min="770" max="772" width="14.28515625" style="228" customWidth="1"/>
    <col min="773" max="773" width="1.42578125" style="228" customWidth="1"/>
    <col min="774" max="776" width="14.28515625" style="228" customWidth="1"/>
    <col min="777" max="781" width="8" style="228" customWidth="1"/>
    <col min="782" max="1024" width="9.140625" style="228"/>
    <col min="1025" max="1025" width="14.7109375" style="228" customWidth="1"/>
    <col min="1026" max="1028" width="14.28515625" style="228" customWidth="1"/>
    <col min="1029" max="1029" width="1.42578125" style="228" customWidth="1"/>
    <col min="1030" max="1032" width="14.28515625" style="228" customWidth="1"/>
    <col min="1033" max="1037" width="8" style="228" customWidth="1"/>
    <col min="1038" max="1280" width="9.140625" style="228"/>
    <col min="1281" max="1281" width="14.7109375" style="228" customWidth="1"/>
    <col min="1282" max="1284" width="14.28515625" style="228" customWidth="1"/>
    <col min="1285" max="1285" width="1.42578125" style="228" customWidth="1"/>
    <col min="1286" max="1288" width="14.28515625" style="228" customWidth="1"/>
    <col min="1289" max="1293" width="8" style="228" customWidth="1"/>
    <col min="1294" max="1536" width="9.140625" style="228"/>
    <col min="1537" max="1537" width="14.7109375" style="228" customWidth="1"/>
    <col min="1538" max="1540" width="14.28515625" style="228" customWidth="1"/>
    <col min="1541" max="1541" width="1.42578125" style="228" customWidth="1"/>
    <col min="1542" max="1544" width="14.28515625" style="228" customWidth="1"/>
    <col min="1545" max="1549" width="8" style="228" customWidth="1"/>
    <col min="1550" max="1792" width="9.140625" style="228"/>
    <col min="1793" max="1793" width="14.7109375" style="228" customWidth="1"/>
    <col min="1794" max="1796" width="14.28515625" style="228" customWidth="1"/>
    <col min="1797" max="1797" width="1.42578125" style="228" customWidth="1"/>
    <col min="1798" max="1800" width="14.28515625" style="228" customWidth="1"/>
    <col min="1801" max="1805" width="8" style="228" customWidth="1"/>
    <col min="1806" max="2048" width="9.140625" style="228"/>
    <col min="2049" max="2049" width="14.7109375" style="228" customWidth="1"/>
    <col min="2050" max="2052" width="14.28515625" style="228" customWidth="1"/>
    <col min="2053" max="2053" width="1.42578125" style="228" customWidth="1"/>
    <col min="2054" max="2056" width="14.28515625" style="228" customWidth="1"/>
    <col min="2057" max="2061" width="8" style="228" customWidth="1"/>
    <col min="2062" max="2304" width="9.140625" style="228"/>
    <col min="2305" max="2305" width="14.7109375" style="228" customWidth="1"/>
    <col min="2306" max="2308" width="14.28515625" style="228" customWidth="1"/>
    <col min="2309" max="2309" width="1.42578125" style="228" customWidth="1"/>
    <col min="2310" max="2312" width="14.28515625" style="228" customWidth="1"/>
    <col min="2313" max="2317" width="8" style="228" customWidth="1"/>
    <col min="2318" max="2560" width="9.140625" style="228"/>
    <col min="2561" max="2561" width="14.7109375" style="228" customWidth="1"/>
    <col min="2562" max="2564" width="14.28515625" style="228" customWidth="1"/>
    <col min="2565" max="2565" width="1.42578125" style="228" customWidth="1"/>
    <col min="2566" max="2568" width="14.28515625" style="228" customWidth="1"/>
    <col min="2569" max="2573" width="8" style="228" customWidth="1"/>
    <col min="2574" max="2816" width="9.140625" style="228"/>
    <col min="2817" max="2817" width="14.7109375" style="228" customWidth="1"/>
    <col min="2818" max="2820" width="14.28515625" style="228" customWidth="1"/>
    <col min="2821" max="2821" width="1.42578125" style="228" customWidth="1"/>
    <col min="2822" max="2824" width="14.28515625" style="228" customWidth="1"/>
    <col min="2825" max="2829" width="8" style="228" customWidth="1"/>
    <col min="2830" max="3072" width="9.140625" style="228"/>
    <col min="3073" max="3073" width="14.7109375" style="228" customWidth="1"/>
    <col min="3074" max="3076" width="14.28515625" style="228" customWidth="1"/>
    <col min="3077" max="3077" width="1.42578125" style="228" customWidth="1"/>
    <col min="3078" max="3080" width="14.28515625" style="228" customWidth="1"/>
    <col min="3081" max="3085" width="8" style="228" customWidth="1"/>
    <col min="3086" max="3328" width="9.140625" style="228"/>
    <col min="3329" max="3329" width="14.7109375" style="228" customWidth="1"/>
    <col min="3330" max="3332" width="14.28515625" style="228" customWidth="1"/>
    <col min="3333" max="3333" width="1.42578125" style="228" customWidth="1"/>
    <col min="3334" max="3336" width="14.28515625" style="228" customWidth="1"/>
    <col min="3337" max="3341" width="8" style="228" customWidth="1"/>
    <col min="3342" max="3584" width="9.140625" style="228"/>
    <col min="3585" max="3585" width="14.7109375" style="228" customWidth="1"/>
    <col min="3586" max="3588" width="14.28515625" style="228" customWidth="1"/>
    <col min="3589" max="3589" width="1.42578125" style="228" customWidth="1"/>
    <col min="3590" max="3592" width="14.28515625" style="228" customWidth="1"/>
    <col min="3593" max="3597" width="8" style="228" customWidth="1"/>
    <col min="3598" max="3840" width="9.140625" style="228"/>
    <col min="3841" max="3841" width="14.7109375" style="228" customWidth="1"/>
    <col min="3842" max="3844" width="14.28515625" style="228" customWidth="1"/>
    <col min="3845" max="3845" width="1.42578125" style="228" customWidth="1"/>
    <col min="3846" max="3848" width="14.28515625" style="228" customWidth="1"/>
    <col min="3849" max="3853" width="8" style="228" customWidth="1"/>
    <col min="3854" max="4096" width="9.140625" style="228"/>
    <col min="4097" max="4097" width="14.7109375" style="228" customWidth="1"/>
    <col min="4098" max="4100" width="14.28515625" style="228" customWidth="1"/>
    <col min="4101" max="4101" width="1.42578125" style="228" customWidth="1"/>
    <col min="4102" max="4104" width="14.28515625" style="228" customWidth="1"/>
    <col min="4105" max="4109" width="8" style="228" customWidth="1"/>
    <col min="4110" max="4352" width="9.140625" style="228"/>
    <col min="4353" max="4353" width="14.7109375" style="228" customWidth="1"/>
    <col min="4354" max="4356" width="14.28515625" style="228" customWidth="1"/>
    <col min="4357" max="4357" width="1.42578125" style="228" customWidth="1"/>
    <col min="4358" max="4360" width="14.28515625" style="228" customWidth="1"/>
    <col min="4361" max="4365" width="8" style="228" customWidth="1"/>
    <col min="4366" max="4608" width="9.140625" style="228"/>
    <col min="4609" max="4609" width="14.7109375" style="228" customWidth="1"/>
    <col min="4610" max="4612" width="14.28515625" style="228" customWidth="1"/>
    <col min="4613" max="4613" width="1.42578125" style="228" customWidth="1"/>
    <col min="4614" max="4616" width="14.28515625" style="228" customWidth="1"/>
    <col min="4617" max="4621" width="8" style="228" customWidth="1"/>
    <col min="4622" max="4864" width="9.140625" style="228"/>
    <col min="4865" max="4865" width="14.7109375" style="228" customWidth="1"/>
    <col min="4866" max="4868" width="14.28515625" style="228" customWidth="1"/>
    <col min="4869" max="4869" width="1.42578125" style="228" customWidth="1"/>
    <col min="4870" max="4872" width="14.28515625" style="228" customWidth="1"/>
    <col min="4873" max="4877" width="8" style="228" customWidth="1"/>
    <col min="4878" max="5120" width="9.140625" style="228"/>
    <col min="5121" max="5121" width="14.7109375" style="228" customWidth="1"/>
    <col min="5122" max="5124" width="14.28515625" style="228" customWidth="1"/>
    <col min="5125" max="5125" width="1.42578125" style="228" customWidth="1"/>
    <col min="5126" max="5128" width="14.28515625" style="228" customWidth="1"/>
    <col min="5129" max="5133" width="8" style="228" customWidth="1"/>
    <col min="5134" max="5376" width="9.140625" style="228"/>
    <col min="5377" max="5377" width="14.7109375" style="228" customWidth="1"/>
    <col min="5378" max="5380" width="14.28515625" style="228" customWidth="1"/>
    <col min="5381" max="5381" width="1.42578125" style="228" customWidth="1"/>
    <col min="5382" max="5384" width="14.28515625" style="228" customWidth="1"/>
    <col min="5385" max="5389" width="8" style="228" customWidth="1"/>
    <col min="5390" max="5632" width="9.140625" style="228"/>
    <col min="5633" max="5633" width="14.7109375" style="228" customWidth="1"/>
    <col min="5634" max="5636" width="14.28515625" style="228" customWidth="1"/>
    <col min="5637" max="5637" width="1.42578125" style="228" customWidth="1"/>
    <col min="5638" max="5640" width="14.28515625" style="228" customWidth="1"/>
    <col min="5641" max="5645" width="8" style="228" customWidth="1"/>
    <col min="5646" max="5888" width="9.140625" style="228"/>
    <col min="5889" max="5889" width="14.7109375" style="228" customWidth="1"/>
    <col min="5890" max="5892" width="14.28515625" style="228" customWidth="1"/>
    <col min="5893" max="5893" width="1.42578125" style="228" customWidth="1"/>
    <col min="5894" max="5896" width="14.28515625" style="228" customWidth="1"/>
    <col min="5897" max="5901" width="8" style="228" customWidth="1"/>
    <col min="5902" max="6144" width="9.140625" style="228"/>
    <col min="6145" max="6145" width="14.7109375" style="228" customWidth="1"/>
    <col min="6146" max="6148" width="14.28515625" style="228" customWidth="1"/>
    <col min="6149" max="6149" width="1.42578125" style="228" customWidth="1"/>
    <col min="6150" max="6152" width="14.28515625" style="228" customWidth="1"/>
    <col min="6153" max="6157" width="8" style="228" customWidth="1"/>
    <col min="6158" max="6400" width="9.140625" style="228"/>
    <col min="6401" max="6401" width="14.7109375" style="228" customWidth="1"/>
    <col min="6402" max="6404" width="14.28515625" style="228" customWidth="1"/>
    <col min="6405" max="6405" width="1.42578125" style="228" customWidth="1"/>
    <col min="6406" max="6408" width="14.28515625" style="228" customWidth="1"/>
    <col min="6409" max="6413" width="8" style="228" customWidth="1"/>
    <col min="6414" max="6656" width="9.140625" style="228"/>
    <col min="6657" max="6657" width="14.7109375" style="228" customWidth="1"/>
    <col min="6658" max="6660" width="14.28515625" style="228" customWidth="1"/>
    <col min="6661" max="6661" width="1.42578125" style="228" customWidth="1"/>
    <col min="6662" max="6664" width="14.28515625" style="228" customWidth="1"/>
    <col min="6665" max="6669" width="8" style="228" customWidth="1"/>
    <col min="6670" max="6912" width="9.140625" style="228"/>
    <col min="6913" max="6913" width="14.7109375" style="228" customWidth="1"/>
    <col min="6914" max="6916" width="14.28515625" style="228" customWidth="1"/>
    <col min="6917" max="6917" width="1.42578125" style="228" customWidth="1"/>
    <col min="6918" max="6920" width="14.28515625" style="228" customWidth="1"/>
    <col min="6921" max="6925" width="8" style="228" customWidth="1"/>
    <col min="6926" max="7168" width="9.140625" style="228"/>
    <col min="7169" max="7169" width="14.7109375" style="228" customWidth="1"/>
    <col min="7170" max="7172" width="14.28515625" style="228" customWidth="1"/>
    <col min="7173" max="7173" width="1.42578125" style="228" customWidth="1"/>
    <col min="7174" max="7176" width="14.28515625" style="228" customWidth="1"/>
    <col min="7177" max="7181" width="8" style="228" customWidth="1"/>
    <col min="7182" max="7424" width="9.140625" style="228"/>
    <col min="7425" max="7425" width="14.7109375" style="228" customWidth="1"/>
    <col min="7426" max="7428" width="14.28515625" style="228" customWidth="1"/>
    <col min="7429" max="7429" width="1.42578125" style="228" customWidth="1"/>
    <col min="7430" max="7432" width="14.28515625" style="228" customWidth="1"/>
    <col min="7433" max="7437" width="8" style="228" customWidth="1"/>
    <col min="7438" max="7680" width="9.140625" style="228"/>
    <col min="7681" max="7681" width="14.7109375" style="228" customWidth="1"/>
    <col min="7682" max="7684" width="14.28515625" style="228" customWidth="1"/>
    <col min="7685" max="7685" width="1.42578125" style="228" customWidth="1"/>
    <col min="7686" max="7688" width="14.28515625" style="228" customWidth="1"/>
    <col min="7689" max="7693" width="8" style="228" customWidth="1"/>
    <col min="7694" max="7936" width="9.140625" style="228"/>
    <col min="7937" max="7937" width="14.7109375" style="228" customWidth="1"/>
    <col min="7938" max="7940" width="14.28515625" style="228" customWidth="1"/>
    <col min="7941" max="7941" width="1.42578125" style="228" customWidth="1"/>
    <col min="7942" max="7944" width="14.28515625" style="228" customWidth="1"/>
    <col min="7945" max="7949" width="8" style="228" customWidth="1"/>
    <col min="7950" max="8192" width="9.140625" style="228"/>
    <col min="8193" max="8193" width="14.7109375" style="228" customWidth="1"/>
    <col min="8194" max="8196" width="14.28515625" style="228" customWidth="1"/>
    <col min="8197" max="8197" width="1.42578125" style="228" customWidth="1"/>
    <col min="8198" max="8200" width="14.28515625" style="228" customWidth="1"/>
    <col min="8201" max="8205" width="8" style="228" customWidth="1"/>
    <col min="8206" max="8448" width="9.140625" style="228"/>
    <col min="8449" max="8449" width="14.7109375" style="228" customWidth="1"/>
    <col min="8450" max="8452" width="14.28515625" style="228" customWidth="1"/>
    <col min="8453" max="8453" width="1.42578125" style="228" customWidth="1"/>
    <col min="8454" max="8456" width="14.28515625" style="228" customWidth="1"/>
    <col min="8457" max="8461" width="8" style="228" customWidth="1"/>
    <col min="8462" max="8704" width="9.140625" style="228"/>
    <col min="8705" max="8705" width="14.7109375" style="228" customWidth="1"/>
    <col min="8706" max="8708" width="14.28515625" style="228" customWidth="1"/>
    <col min="8709" max="8709" width="1.42578125" style="228" customWidth="1"/>
    <col min="8710" max="8712" width="14.28515625" style="228" customWidth="1"/>
    <col min="8713" max="8717" width="8" style="228" customWidth="1"/>
    <col min="8718" max="8960" width="9.140625" style="228"/>
    <col min="8961" max="8961" width="14.7109375" style="228" customWidth="1"/>
    <col min="8962" max="8964" width="14.28515625" style="228" customWidth="1"/>
    <col min="8965" max="8965" width="1.42578125" style="228" customWidth="1"/>
    <col min="8966" max="8968" width="14.28515625" style="228" customWidth="1"/>
    <col min="8969" max="8973" width="8" style="228" customWidth="1"/>
    <col min="8974" max="9216" width="9.140625" style="228"/>
    <col min="9217" max="9217" width="14.7109375" style="228" customWidth="1"/>
    <col min="9218" max="9220" width="14.28515625" style="228" customWidth="1"/>
    <col min="9221" max="9221" width="1.42578125" style="228" customWidth="1"/>
    <col min="9222" max="9224" width="14.28515625" style="228" customWidth="1"/>
    <col min="9225" max="9229" width="8" style="228" customWidth="1"/>
    <col min="9230" max="9472" width="9.140625" style="228"/>
    <col min="9473" max="9473" width="14.7109375" style="228" customWidth="1"/>
    <col min="9474" max="9476" width="14.28515625" style="228" customWidth="1"/>
    <col min="9477" max="9477" width="1.42578125" style="228" customWidth="1"/>
    <col min="9478" max="9480" width="14.28515625" style="228" customWidth="1"/>
    <col min="9481" max="9485" width="8" style="228" customWidth="1"/>
    <col min="9486" max="9728" width="9.140625" style="228"/>
    <col min="9729" max="9729" width="14.7109375" style="228" customWidth="1"/>
    <col min="9730" max="9732" width="14.28515625" style="228" customWidth="1"/>
    <col min="9733" max="9733" width="1.42578125" style="228" customWidth="1"/>
    <col min="9734" max="9736" width="14.28515625" style="228" customWidth="1"/>
    <col min="9737" max="9741" width="8" style="228" customWidth="1"/>
    <col min="9742" max="9984" width="9.140625" style="228"/>
    <col min="9985" max="9985" width="14.7109375" style="228" customWidth="1"/>
    <col min="9986" max="9988" width="14.28515625" style="228" customWidth="1"/>
    <col min="9989" max="9989" width="1.42578125" style="228" customWidth="1"/>
    <col min="9990" max="9992" width="14.28515625" style="228" customWidth="1"/>
    <col min="9993" max="9997" width="8" style="228" customWidth="1"/>
    <col min="9998" max="10240" width="9.140625" style="228"/>
    <col min="10241" max="10241" width="14.7109375" style="228" customWidth="1"/>
    <col min="10242" max="10244" width="14.28515625" style="228" customWidth="1"/>
    <col min="10245" max="10245" width="1.42578125" style="228" customWidth="1"/>
    <col min="10246" max="10248" width="14.28515625" style="228" customWidth="1"/>
    <col min="10249" max="10253" width="8" style="228" customWidth="1"/>
    <col min="10254" max="10496" width="9.140625" style="228"/>
    <col min="10497" max="10497" width="14.7109375" style="228" customWidth="1"/>
    <col min="10498" max="10500" width="14.28515625" style="228" customWidth="1"/>
    <col min="10501" max="10501" width="1.42578125" style="228" customWidth="1"/>
    <col min="10502" max="10504" width="14.28515625" style="228" customWidth="1"/>
    <col min="10505" max="10509" width="8" style="228" customWidth="1"/>
    <col min="10510" max="10752" width="9.140625" style="228"/>
    <col min="10753" max="10753" width="14.7109375" style="228" customWidth="1"/>
    <col min="10754" max="10756" width="14.28515625" style="228" customWidth="1"/>
    <col min="10757" max="10757" width="1.42578125" style="228" customWidth="1"/>
    <col min="10758" max="10760" width="14.28515625" style="228" customWidth="1"/>
    <col min="10761" max="10765" width="8" style="228" customWidth="1"/>
    <col min="10766" max="11008" width="9.140625" style="228"/>
    <col min="11009" max="11009" width="14.7109375" style="228" customWidth="1"/>
    <col min="11010" max="11012" width="14.28515625" style="228" customWidth="1"/>
    <col min="11013" max="11013" width="1.42578125" style="228" customWidth="1"/>
    <col min="11014" max="11016" width="14.28515625" style="228" customWidth="1"/>
    <col min="11017" max="11021" width="8" style="228" customWidth="1"/>
    <col min="11022" max="11264" width="9.140625" style="228"/>
    <col min="11265" max="11265" width="14.7109375" style="228" customWidth="1"/>
    <col min="11266" max="11268" width="14.28515625" style="228" customWidth="1"/>
    <col min="11269" max="11269" width="1.42578125" style="228" customWidth="1"/>
    <col min="11270" max="11272" width="14.28515625" style="228" customWidth="1"/>
    <col min="11273" max="11277" width="8" style="228" customWidth="1"/>
    <col min="11278" max="11520" width="9.140625" style="228"/>
    <col min="11521" max="11521" width="14.7109375" style="228" customWidth="1"/>
    <col min="11522" max="11524" width="14.28515625" style="228" customWidth="1"/>
    <col min="11525" max="11525" width="1.42578125" style="228" customWidth="1"/>
    <col min="11526" max="11528" width="14.28515625" style="228" customWidth="1"/>
    <col min="11529" max="11533" width="8" style="228" customWidth="1"/>
    <col min="11534" max="11776" width="9.140625" style="228"/>
    <col min="11777" max="11777" width="14.7109375" style="228" customWidth="1"/>
    <col min="11778" max="11780" width="14.28515625" style="228" customWidth="1"/>
    <col min="11781" max="11781" width="1.42578125" style="228" customWidth="1"/>
    <col min="11782" max="11784" width="14.28515625" style="228" customWidth="1"/>
    <col min="11785" max="11789" width="8" style="228" customWidth="1"/>
    <col min="11790" max="12032" width="9.140625" style="228"/>
    <col min="12033" max="12033" width="14.7109375" style="228" customWidth="1"/>
    <col min="12034" max="12036" width="14.28515625" style="228" customWidth="1"/>
    <col min="12037" max="12037" width="1.42578125" style="228" customWidth="1"/>
    <col min="12038" max="12040" width="14.28515625" style="228" customWidth="1"/>
    <col min="12041" max="12045" width="8" style="228" customWidth="1"/>
    <col min="12046" max="12288" width="9.140625" style="228"/>
    <col min="12289" max="12289" width="14.7109375" style="228" customWidth="1"/>
    <col min="12290" max="12292" width="14.28515625" style="228" customWidth="1"/>
    <col min="12293" max="12293" width="1.42578125" style="228" customWidth="1"/>
    <col min="12294" max="12296" width="14.28515625" style="228" customWidth="1"/>
    <col min="12297" max="12301" width="8" style="228" customWidth="1"/>
    <col min="12302" max="12544" width="9.140625" style="228"/>
    <col min="12545" max="12545" width="14.7109375" style="228" customWidth="1"/>
    <col min="12546" max="12548" width="14.28515625" style="228" customWidth="1"/>
    <col min="12549" max="12549" width="1.42578125" style="228" customWidth="1"/>
    <col min="12550" max="12552" width="14.28515625" style="228" customWidth="1"/>
    <col min="12553" max="12557" width="8" style="228" customWidth="1"/>
    <col min="12558" max="12800" width="9.140625" style="228"/>
    <col min="12801" max="12801" width="14.7109375" style="228" customWidth="1"/>
    <col min="12802" max="12804" width="14.28515625" style="228" customWidth="1"/>
    <col min="12805" max="12805" width="1.42578125" style="228" customWidth="1"/>
    <col min="12806" max="12808" width="14.28515625" style="228" customWidth="1"/>
    <col min="12809" max="12813" width="8" style="228" customWidth="1"/>
    <col min="12814" max="13056" width="9.140625" style="228"/>
    <col min="13057" max="13057" width="14.7109375" style="228" customWidth="1"/>
    <col min="13058" max="13060" width="14.28515625" style="228" customWidth="1"/>
    <col min="13061" max="13061" width="1.42578125" style="228" customWidth="1"/>
    <col min="13062" max="13064" width="14.28515625" style="228" customWidth="1"/>
    <col min="13065" max="13069" width="8" style="228" customWidth="1"/>
    <col min="13070" max="13312" width="9.140625" style="228"/>
    <col min="13313" max="13313" width="14.7109375" style="228" customWidth="1"/>
    <col min="13314" max="13316" width="14.28515625" style="228" customWidth="1"/>
    <col min="13317" max="13317" width="1.42578125" style="228" customWidth="1"/>
    <col min="13318" max="13320" width="14.28515625" style="228" customWidth="1"/>
    <col min="13321" max="13325" width="8" style="228" customWidth="1"/>
    <col min="13326" max="13568" width="9.140625" style="228"/>
    <col min="13569" max="13569" width="14.7109375" style="228" customWidth="1"/>
    <col min="13570" max="13572" width="14.28515625" style="228" customWidth="1"/>
    <col min="13573" max="13573" width="1.42578125" style="228" customWidth="1"/>
    <col min="13574" max="13576" width="14.28515625" style="228" customWidth="1"/>
    <col min="13577" max="13581" width="8" style="228" customWidth="1"/>
    <col min="13582" max="13824" width="9.140625" style="228"/>
    <col min="13825" max="13825" width="14.7109375" style="228" customWidth="1"/>
    <col min="13826" max="13828" width="14.28515625" style="228" customWidth="1"/>
    <col min="13829" max="13829" width="1.42578125" style="228" customWidth="1"/>
    <col min="13830" max="13832" width="14.28515625" style="228" customWidth="1"/>
    <col min="13833" max="13837" width="8" style="228" customWidth="1"/>
    <col min="13838" max="14080" width="9.140625" style="228"/>
    <col min="14081" max="14081" width="14.7109375" style="228" customWidth="1"/>
    <col min="14082" max="14084" width="14.28515625" style="228" customWidth="1"/>
    <col min="14085" max="14085" width="1.42578125" style="228" customWidth="1"/>
    <col min="14086" max="14088" width="14.28515625" style="228" customWidth="1"/>
    <col min="14089" max="14093" width="8" style="228" customWidth="1"/>
    <col min="14094" max="14336" width="9.140625" style="228"/>
    <col min="14337" max="14337" width="14.7109375" style="228" customWidth="1"/>
    <col min="14338" max="14340" width="14.28515625" style="228" customWidth="1"/>
    <col min="14341" max="14341" width="1.42578125" style="228" customWidth="1"/>
    <col min="14342" max="14344" width="14.28515625" style="228" customWidth="1"/>
    <col min="14345" max="14349" width="8" style="228" customWidth="1"/>
    <col min="14350" max="14592" width="9.140625" style="228"/>
    <col min="14593" max="14593" width="14.7109375" style="228" customWidth="1"/>
    <col min="14594" max="14596" width="14.28515625" style="228" customWidth="1"/>
    <col min="14597" max="14597" width="1.42578125" style="228" customWidth="1"/>
    <col min="14598" max="14600" width="14.28515625" style="228" customWidth="1"/>
    <col min="14601" max="14605" width="8" style="228" customWidth="1"/>
    <col min="14606" max="14848" width="9.140625" style="228"/>
    <col min="14849" max="14849" width="14.7109375" style="228" customWidth="1"/>
    <col min="14850" max="14852" width="14.28515625" style="228" customWidth="1"/>
    <col min="14853" max="14853" width="1.42578125" style="228" customWidth="1"/>
    <col min="14854" max="14856" width="14.28515625" style="228" customWidth="1"/>
    <col min="14857" max="14861" width="8" style="228" customWidth="1"/>
    <col min="14862" max="15104" width="9.140625" style="228"/>
    <col min="15105" max="15105" width="14.7109375" style="228" customWidth="1"/>
    <col min="15106" max="15108" width="14.28515625" style="228" customWidth="1"/>
    <col min="15109" max="15109" width="1.42578125" style="228" customWidth="1"/>
    <col min="15110" max="15112" width="14.28515625" style="228" customWidth="1"/>
    <col min="15113" max="15117" width="8" style="228" customWidth="1"/>
    <col min="15118" max="15360" width="9.140625" style="228"/>
    <col min="15361" max="15361" width="14.7109375" style="228" customWidth="1"/>
    <col min="15362" max="15364" width="14.28515625" style="228" customWidth="1"/>
    <col min="15365" max="15365" width="1.42578125" style="228" customWidth="1"/>
    <col min="15366" max="15368" width="14.28515625" style="228" customWidth="1"/>
    <col min="15369" max="15373" width="8" style="228" customWidth="1"/>
    <col min="15374" max="15616" width="9.140625" style="228"/>
    <col min="15617" max="15617" width="14.7109375" style="228" customWidth="1"/>
    <col min="15618" max="15620" width="14.28515625" style="228" customWidth="1"/>
    <col min="15621" max="15621" width="1.42578125" style="228" customWidth="1"/>
    <col min="15622" max="15624" width="14.28515625" style="228" customWidth="1"/>
    <col min="15625" max="15629" width="8" style="228" customWidth="1"/>
    <col min="15630" max="15872" width="9.140625" style="228"/>
    <col min="15873" max="15873" width="14.7109375" style="228" customWidth="1"/>
    <col min="15874" max="15876" width="14.28515625" style="228" customWidth="1"/>
    <col min="15877" max="15877" width="1.42578125" style="228" customWidth="1"/>
    <col min="15878" max="15880" width="14.28515625" style="228" customWidth="1"/>
    <col min="15881" max="15885" width="8" style="228" customWidth="1"/>
    <col min="15886" max="16128" width="9.140625" style="228"/>
    <col min="16129" max="16129" width="14.7109375" style="228" customWidth="1"/>
    <col min="16130" max="16132" width="14.28515625" style="228" customWidth="1"/>
    <col min="16133" max="16133" width="1.42578125" style="228" customWidth="1"/>
    <col min="16134" max="16136" width="14.28515625" style="228" customWidth="1"/>
    <col min="16137" max="16141" width="8" style="228" customWidth="1"/>
    <col min="16142" max="16384" width="9.140625" style="228"/>
  </cols>
  <sheetData>
    <row r="1" spans="1:10" s="228" customFormat="1" x14ac:dyDescent="0.2">
      <c r="A1" s="240" t="s">
        <v>328</v>
      </c>
      <c r="B1" s="241"/>
      <c r="C1" s="241"/>
      <c r="D1" s="241"/>
      <c r="E1" s="241"/>
      <c r="F1" s="241"/>
      <c r="G1" s="241"/>
      <c r="H1" s="241"/>
      <c r="J1" s="229"/>
    </row>
    <row r="2" spans="1:10" s="228" customFormat="1" x14ac:dyDescent="0.2">
      <c r="A2" s="228" t="s">
        <v>138</v>
      </c>
      <c r="B2" s="242" t="s">
        <v>371</v>
      </c>
      <c r="C2" s="242"/>
      <c r="D2" s="243"/>
      <c r="F2" s="243" t="s">
        <v>240</v>
      </c>
      <c r="G2" s="243"/>
      <c r="H2" s="243"/>
      <c r="J2" s="229"/>
    </row>
    <row r="3" spans="1:10" s="228" customFormat="1" x14ac:dyDescent="0.2">
      <c r="C3" s="244"/>
      <c r="D3" s="244" t="s">
        <v>241</v>
      </c>
      <c r="G3" s="244"/>
      <c r="H3" s="244" t="s">
        <v>241</v>
      </c>
      <c r="J3" s="229"/>
    </row>
    <row r="4" spans="1:10" s="228" customFormat="1" x14ac:dyDescent="0.2">
      <c r="A4" s="241"/>
      <c r="B4" s="245" t="s">
        <v>242</v>
      </c>
      <c r="C4" s="245" t="s">
        <v>12</v>
      </c>
      <c r="D4" s="245" t="s">
        <v>243</v>
      </c>
      <c r="E4" s="241"/>
      <c r="F4" s="245" t="s">
        <v>242</v>
      </c>
      <c r="G4" s="245" t="s">
        <v>12</v>
      </c>
      <c r="H4" s="245" t="s">
        <v>243</v>
      </c>
      <c r="J4" s="229"/>
    </row>
    <row r="5" spans="1:10" s="228" customFormat="1" x14ac:dyDescent="0.2">
      <c r="B5" s="246" t="s">
        <v>23</v>
      </c>
      <c r="C5" s="247"/>
      <c r="D5" s="247"/>
      <c r="F5" s="247" t="s">
        <v>198</v>
      </c>
      <c r="G5" s="247"/>
      <c r="H5" s="247"/>
      <c r="J5" s="229"/>
    </row>
    <row r="6" spans="1:10" s="228" customFormat="1" x14ac:dyDescent="0.2">
      <c r="B6" s="246"/>
      <c r="C6" s="247"/>
      <c r="D6" s="247"/>
      <c r="F6" s="247"/>
      <c r="G6" s="247"/>
      <c r="H6" s="247"/>
      <c r="J6" s="229"/>
    </row>
    <row r="7" spans="1:10" s="228" customFormat="1" x14ac:dyDescent="0.2">
      <c r="A7" s="228" t="s">
        <v>244</v>
      </c>
      <c r="B7" s="236">
        <v>3370</v>
      </c>
      <c r="C7" s="236">
        <f>2320+455</f>
        <v>2775</v>
      </c>
      <c r="D7" s="236">
        <f t="shared" ref="D7:D31" si="0">SUM(B7:C7)</f>
        <v>6145</v>
      </c>
      <c r="F7" s="248">
        <f t="shared" ref="F7:H22" si="1">(B7/$D7)*100</f>
        <v>54.841334418226197</v>
      </c>
      <c r="G7" s="248">
        <f t="shared" si="1"/>
        <v>45.158665581773796</v>
      </c>
      <c r="H7" s="249">
        <f t="shared" si="1"/>
        <v>100</v>
      </c>
      <c r="J7" s="229"/>
    </row>
    <row r="8" spans="1:10" s="228" customFormat="1" x14ac:dyDescent="0.2">
      <c r="A8" s="228" t="s">
        <v>245</v>
      </c>
      <c r="B8" s="236">
        <v>3430</v>
      </c>
      <c r="C8" s="236">
        <f>2456+321</f>
        <v>2777</v>
      </c>
      <c r="D8" s="236">
        <f t="shared" si="0"/>
        <v>6207</v>
      </c>
      <c r="F8" s="248">
        <f t="shared" si="1"/>
        <v>55.260190107942641</v>
      </c>
      <c r="G8" s="248">
        <f t="shared" si="1"/>
        <v>44.739809892057352</v>
      </c>
      <c r="H8" s="249">
        <f t="shared" si="1"/>
        <v>100</v>
      </c>
      <c r="J8" s="229"/>
    </row>
    <row r="9" spans="1:10" s="228" customFormat="1" x14ac:dyDescent="0.2">
      <c r="A9" s="228" t="s">
        <v>246</v>
      </c>
      <c r="B9" s="236">
        <v>3584</v>
      </c>
      <c r="C9" s="236">
        <f>2308+295</f>
        <v>2603</v>
      </c>
      <c r="D9" s="236">
        <f t="shared" si="0"/>
        <v>6187</v>
      </c>
      <c r="F9" s="248">
        <f t="shared" si="1"/>
        <v>57.927913366736703</v>
      </c>
      <c r="G9" s="248">
        <f t="shared" si="1"/>
        <v>42.072086633263297</v>
      </c>
      <c r="H9" s="249">
        <f t="shared" si="1"/>
        <v>100</v>
      </c>
      <c r="J9" s="229"/>
    </row>
    <row r="10" spans="1:10" s="228" customFormat="1" x14ac:dyDescent="0.2">
      <c r="A10" s="228" t="s">
        <v>247</v>
      </c>
      <c r="B10" s="236">
        <v>3488</v>
      </c>
      <c r="C10" s="236">
        <f>2776+252</f>
        <v>3028</v>
      </c>
      <c r="D10" s="236">
        <f t="shared" si="0"/>
        <v>6516</v>
      </c>
      <c r="F10" s="248">
        <f t="shared" si="1"/>
        <v>53.529772866789436</v>
      </c>
      <c r="G10" s="248">
        <f t="shared" si="1"/>
        <v>46.470227133210557</v>
      </c>
      <c r="H10" s="249">
        <f t="shared" si="1"/>
        <v>100</v>
      </c>
      <c r="J10" s="229"/>
    </row>
    <row r="11" spans="1:10" s="228" customFormat="1" x14ac:dyDescent="0.2">
      <c r="A11" s="228" t="s">
        <v>248</v>
      </c>
      <c r="B11" s="236">
        <v>3162</v>
      </c>
      <c r="C11" s="236">
        <f>2377+287</f>
        <v>2664</v>
      </c>
      <c r="D11" s="236">
        <f t="shared" si="0"/>
        <v>5826</v>
      </c>
      <c r="F11" s="248">
        <f t="shared" si="1"/>
        <v>54.273944387229655</v>
      </c>
      <c r="G11" s="248">
        <f t="shared" si="1"/>
        <v>45.726055612770338</v>
      </c>
      <c r="H11" s="249">
        <f t="shared" si="1"/>
        <v>100</v>
      </c>
      <c r="J11" s="229"/>
    </row>
    <row r="12" spans="1:10" s="228" customFormat="1" x14ac:dyDescent="0.2">
      <c r="A12" s="228" t="s">
        <v>249</v>
      </c>
      <c r="B12" s="236">
        <v>3149</v>
      </c>
      <c r="C12" s="236">
        <f>2598+299</f>
        <v>2897</v>
      </c>
      <c r="D12" s="236">
        <f t="shared" si="0"/>
        <v>6046</v>
      </c>
      <c r="F12" s="248">
        <f t="shared" si="1"/>
        <v>52.084022494211048</v>
      </c>
      <c r="G12" s="248">
        <f t="shared" si="1"/>
        <v>47.915977505788952</v>
      </c>
      <c r="H12" s="249">
        <f t="shared" si="1"/>
        <v>100</v>
      </c>
      <c r="J12" s="229"/>
    </row>
    <row r="13" spans="1:10" s="228" customFormat="1" x14ac:dyDescent="0.2">
      <c r="A13" s="228" t="s">
        <v>250</v>
      </c>
      <c r="B13" s="236">
        <v>4290</v>
      </c>
      <c r="C13" s="236">
        <f>2857+308</f>
        <v>3165</v>
      </c>
      <c r="D13" s="236">
        <f t="shared" si="0"/>
        <v>7455</v>
      </c>
      <c r="F13" s="248">
        <f t="shared" si="1"/>
        <v>57.545271629778668</v>
      </c>
      <c r="G13" s="248">
        <f t="shared" si="1"/>
        <v>42.454728370221332</v>
      </c>
      <c r="H13" s="249">
        <f t="shared" si="1"/>
        <v>100</v>
      </c>
      <c r="J13" s="229"/>
    </row>
    <row r="14" spans="1:10" s="228" customFormat="1" x14ac:dyDescent="0.2">
      <c r="A14" s="228" t="s">
        <v>251</v>
      </c>
      <c r="B14" s="236">
        <v>3758</v>
      </c>
      <c r="C14" s="236">
        <f>2751+264</f>
        <v>3015</v>
      </c>
      <c r="D14" s="236">
        <f t="shared" si="0"/>
        <v>6773</v>
      </c>
      <c r="F14" s="248">
        <f t="shared" si="1"/>
        <v>55.485014026280822</v>
      </c>
      <c r="G14" s="248">
        <f t="shared" si="1"/>
        <v>44.514985973719178</v>
      </c>
      <c r="H14" s="249">
        <f t="shared" si="1"/>
        <v>100</v>
      </c>
      <c r="J14" s="229"/>
    </row>
    <row r="15" spans="1:10" s="228" customFormat="1" x14ac:dyDescent="0.2">
      <c r="A15" s="228" t="s">
        <v>252</v>
      </c>
      <c r="B15" s="236">
        <v>3022</v>
      </c>
      <c r="C15" s="236">
        <f>2783+201</f>
        <v>2984</v>
      </c>
      <c r="D15" s="236">
        <f t="shared" si="0"/>
        <v>6006</v>
      </c>
      <c r="F15" s="248">
        <f t="shared" si="1"/>
        <v>50.316350316350309</v>
      </c>
      <c r="G15" s="248">
        <f t="shared" si="1"/>
        <v>49.683649683649683</v>
      </c>
      <c r="H15" s="249">
        <f t="shared" si="1"/>
        <v>100</v>
      </c>
      <c r="J15" s="229"/>
    </row>
    <row r="16" spans="1:10" s="228" customFormat="1" x14ac:dyDescent="0.2">
      <c r="A16" s="228" t="s">
        <v>253</v>
      </c>
      <c r="B16" s="236">
        <v>3295</v>
      </c>
      <c r="C16" s="236">
        <f>2643+191</f>
        <v>2834</v>
      </c>
      <c r="D16" s="236">
        <f t="shared" si="0"/>
        <v>6129</v>
      </c>
      <c r="F16" s="248">
        <f t="shared" si="1"/>
        <v>53.760809267417201</v>
      </c>
      <c r="G16" s="248">
        <f t="shared" si="1"/>
        <v>46.239190732582799</v>
      </c>
      <c r="H16" s="249">
        <f t="shared" si="1"/>
        <v>100</v>
      </c>
      <c r="J16" s="229"/>
    </row>
    <row r="17" spans="1:15" s="228" customFormat="1" x14ac:dyDescent="0.2">
      <c r="A17" s="228" t="s">
        <v>254</v>
      </c>
      <c r="B17" s="236">
        <v>2915</v>
      </c>
      <c r="C17" s="236">
        <f>2648+175</f>
        <v>2823</v>
      </c>
      <c r="D17" s="236">
        <f t="shared" si="0"/>
        <v>5738</v>
      </c>
      <c r="F17" s="248">
        <f t="shared" si="1"/>
        <v>50.801673056814224</v>
      </c>
      <c r="G17" s="248">
        <f t="shared" si="1"/>
        <v>49.198326943185776</v>
      </c>
      <c r="H17" s="249">
        <f t="shared" si="1"/>
        <v>100</v>
      </c>
      <c r="J17" s="229"/>
    </row>
    <row r="18" spans="1:15" s="228" customFormat="1" x14ac:dyDescent="0.2">
      <c r="A18" s="228" t="s">
        <v>199</v>
      </c>
      <c r="B18" s="236">
        <v>3234</v>
      </c>
      <c r="C18" s="236">
        <v>2987</v>
      </c>
      <c r="D18" s="236">
        <f t="shared" si="0"/>
        <v>6221</v>
      </c>
      <c r="F18" s="248">
        <f t="shared" si="1"/>
        <v>51.985211380806938</v>
      </c>
      <c r="G18" s="248">
        <f t="shared" si="1"/>
        <v>48.014788619193055</v>
      </c>
      <c r="H18" s="249">
        <f t="shared" si="1"/>
        <v>100</v>
      </c>
      <c r="J18" s="229"/>
    </row>
    <row r="19" spans="1:15" s="228" customFormat="1" x14ac:dyDescent="0.2">
      <c r="A19" s="228" t="s">
        <v>200</v>
      </c>
      <c r="B19" s="236">
        <v>3318</v>
      </c>
      <c r="C19" s="236">
        <v>2804</v>
      </c>
      <c r="D19" s="236">
        <f t="shared" si="0"/>
        <v>6122</v>
      </c>
      <c r="F19" s="248">
        <f t="shared" si="1"/>
        <v>54.197974518131332</v>
      </c>
      <c r="G19" s="248">
        <f t="shared" si="1"/>
        <v>45.802025481868668</v>
      </c>
      <c r="H19" s="249">
        <f t="shared" si="1"/>
        <v>100</v>
      </c>
      <c r="J19" s="229"/>
    </row>
    <row r="20" spans="1:15" s="228" customFormat="1" x14ac:dyDescent="0.2">
      <c r="A20" s="228" t="s">
        <v>201</v>
      </c>
      <c r="B20" s="236">
        <v>2692</v>
      </c>
      <c r="C20" s="236">
        <v>3263</v>
      </c>
      <c r="D20" s="236">
        <f t="shared" si="0"/>
        <v>5955</v>
      </c>
      <c r="F20" s="248">
        <f t="shared" si="1"/>
        <v>45.205709487825359</v>
      </c>
      <c r="G20" s="248">
        <f t="shared" si="1"/>
        <v>54.794290512174648</v>
      </c>
      <c r="H20" s="249">
        <f t="shared" si="1"/>
        <v>100</v>
      </c>
      <c r="J20" s="229"/>
    </row>
    <row r="21" spans="1:15" s="228" customFormat="1" x14ac:dyDescent="0.2">
      <c r="A21" s="228" t="s">
        <v>202</v>
      </c>
      <c r="B21" s="236">
        <v>2837</v>
      </c>
      <c r="C21" s="236">
        <v>3073</v>
      </c>
      <c r="D21" s="236">
        <f t="shared" si="0"/>
        <v>5910</v>
      </c>
      <c r="F21" s="248">
        <f t="shared" si="1"/>
        <v>48.003384094754651</v>
      </c>
      <c r="G21" s="248">
        <f t="shared" si="1"/>
        <v>51.996615905245349</v>
      </c>
      <c r="H21" s="249">
        <f t="shared" si="1"/>
        <v>100</v>
      </c>
      <c r="J21" s="229"/>
    </row>
    <row r="22" spans="1:15" s="228" customFormat="1" x14ac:dyDescent="0.2">
      <c r="A22" s="228" t="s">
        <v>203</v>
      </c>
      <c r="B22" s="236">
        <v>2915</v>
      </c>
      <c r="C22" s="236">
        <v>3025</v>
      </c>
      <c r="D22" s="236">
        <f t="shared" si="0"/>
        <v>5940</v>
      </c>
      <c r="F22" s="248">
        <f t="shared" si="1"/>
        <v>49.074074074074076</v>
      </c>
      <c r="G22" s="248">
        <f t="shared" si="1"/>
        <v>50.925925925925931</v>
      </c>
      <c r="H22" s="249">
        <f t="shared" si="1"/>
        <v>100</v>
      </c>
      <c r="J22" s="229"/>
    </row>
    <row r="23" spans="1:15" s="228" customFormat="1" x14ac:dyDescent="0.2">
      <c r="A23" s="228" t="s">
        <v>204</v>
      </c>
      <c r="B23" s="236">
        <v>2988</v>
      </c>
      <c r="C23" s="236">
        <v>3136</v>
      </c>
      <c r="D23" s="236">
        <f t="shared" si="0"/>
        <v>6124</v>
      </c>
      <c r="F23" s="248">
        <f t="shared" ref="F23:H43" si="2">(B23/$D23)*100</f>
        <v>48.791639451338995</v>
      </c>
      <c r="G23" s="248">
        <f t="shared" si="2"/>
        <v>51.208360548661005</v>
      </c>
      <c r="H23" s="249">
        <f t="shared" si="2"/>
        <v>100</v>
      </c>
      <c r="J23" s="229"/>
    </row>
    <row r="24" spans="1:15" s="228" customFormat="1" x14ac:dyDescent="0.2">
      <c r="A24" s="228" t="s">
        <v>205</v>
      </c>
      <c r="B24" s="236">
        <v>3653</v>
      </c>
      <c r="C24" s="236">
        <v>3506</v>
      </c>
      <c r="D24" s="236">
        <f t="shared" si="0"/>
        <v>7159</v>
      </c>
      <c r="F24" s="248">
        <f t="shared" si="2"/>
        <v>51.026679703869263</v>
      </c>
      <c r="G24" s="248">
        <f t="shared" si="2"/>
        <v>48.973320296130744</v>
      </c>
      <c r="H24" s="249">
        <f t="shared" si="2"/>
        <v>100</v>
      </c>
      <c r="J24" s="229"/>
    </row>
    <row r="25" spans="1:15" s="228" customFormat="1" x14ac:dyDescent="0.2">
      <c r="A25" s="228" t="s">
        <v>206</v>
      </c>
      <c r="B25" s="236">
        <v>3822</v>
      </c>
      <c r="C25" s="236">
        <v>3425</v>
      </c>
      <c r="D25" s="236">
        <f t="shared" si="0"/>
        <v>7247</v>
      </c>
      <c r="F25" s="248">
        <f t="shared" si="2"/>
        <v>52.739064440458115</v>
      </c>
      <c r="G25" s="248">
        <f t="shared" si="2"/>
        <v>47.260935559541878</v>
      </c>
      <c r="H25" s="249">
        <f t="shared" si="2"/>
        <v>100</v>
      </c>
      <c r="J25" s="229"/>
    </row>
    <row r="26" spans="1:15" s="228" customFormat="1" x14ac:dyDescent="0.2">
      <c r="A26" s="228" t="s">
        <v>207</v>
      </c>
      <c r="B26" s="236">
        <v>3396</v>
      </c>
      <c r="C26" s="236">
        <v>3408</v>
      </c>
      <c r="D26" s="236">
        <f t="shared" si="0"/>
        <v>6804</v>
      </c>
      <c r="F26" s="248">
        <f t="shared" si="2"/>
        <v>49.91181657848324</v>
      </c>
      <c r="G26" s="248">
        <f t="shared" si="2"/>
        <v>50.088183421516753</v>
      </c>
      <c r="H26" s="249">
        <f t="shared" si="2"/>
        <v>100</v>
      </c>
      <c r="J26" s="229"/>
    </row>
    <row r="27" spans="1:15" s="228" customFormat="1" x14ac:dyDescent="0.2">
      <c r="A27" s="228" t="s">
        <v>208</v>
      </c>
      <c r="B27" s="236">
        <v>3466</v>
      </c>
      <c r="C27" s="236">
        <v>3225</v>
      </c>
      <c r="D27" s="236">
        <f t="shared" si="0"/>
        <v>6691</v>
      </c>
      <c r="F27" s="248">
        <f t="shared" si="2"/>
        <v>51.800926617844866</v>
      </c>
      <c r="G27" s="248">
        <f t="shared" si="2"/>
        <v>48.199073382155134</v>
      </c>
      <c r="H27" s="249">
        <f t="shared" si="2"/>
        <v>100</v>
      </c>
      <c r="I27" s="229"/>
      <c r="J27" s="229"/>
      <c r="K27" s="229"/>
    </row>
    <row r="28" spans="1:15" s="228" customFormat="1" x14ac:dyDescent="0.2">
      <c r="A28" s="228" t="s">
        <v>255</v>
      </c>
      <c r="B28" s="236">
        <v>3854</v>
      </c>
      <c r="C28" s="236">
        <v>3124</v>
      </c>
      <c r="D28" s="236">
        <f t="shared" si="0"/>
        <v>6978</v>
      </c>
      <c r="F28" s="248">
        <f t="shared" si="2"/>
        <v>55.230725136142155</v>
      </c>
      <c r="G28" s="248">
        <f t="shared" si="2"/>
        <v>44.769274863857838</v>
      </c>
      <c r="H28" s="249">
        <f t="shared" si="2"/>
        <v>100</v>
      </c>
      <c r="J28" s="230"/>
      <c r="K28" s="229"/>
    </row>
    <row r="29" spans="1:15" s="228" customFormat="1" x14ac:dyDescent="0.2">
      <c r="A29" s="228" t="s">
        <v>256</v>
      </c>
      <c r="B29" s="236">
        <f>Table18!U185</f>
        <v>3845</v>
      </c>
      <c r="C29" s="236">
        <f>Table18!U151</f>
        <v>3393.3</v>
      </c>
      <c r="D29" s="236">
        <f t="shared" si="0"/>
        <v>7238.3</v>
      </c>
      <c r="F29" s="248">
        <f t="shared" si="2"/>
        <v>53.120207783595596</v>
      </c>
      <c r="G29" s="248">
        <f t="shared" si="2"/>
        <v>46.879792216404404</v>
      </c>
      <c r="H29" s="249">
        <f t="shared" si="2"/>
        <v>100</v>
      </c>
      <c r="I29" s="231"/>
      <c r="J29" s="230"/>
      <c r="K29" s="232"/>
      <c r="L29" s="233"/>
      <c r="N29" s="234"/>
      <c r="O29" s="235"/>
    </row>
    <row r="30" spans="1:15" s="228" customFormat="1" x14ac:dyDescent="0.2">
      <c r="A30" s="228" t="s">
        <v>257</v>
      </c>
      <c r="B30" s="236">
        <f>Table18!U186</f>
        <v>4391.8990000000003</v>
      </c>
      <c r="C30" s="236">
        <f>Table18!U152</f>
        <v>3445.6080000000002</v>
      </c>
      <c r="D30" s="236">
        <f t="shared" si="0"/>
        <v>7837.5070000000005</v>
      </c>
      <c r="F30" s="248">
        <f t="shared" si="2"/>
        <v>56.036938786785143</v>
      </c>
      <c r="G30" s="248">
        <f t="shared" si="2"/>
        <v>43.963061213214864</v>
      </c>
      <c r="H30" s="249">
        <f t="shared" si="2"/>
        <v>100</v>
      </c>
      <c r="I30" s="231"/>
      <c r="J30" s="230"/>
      <c r="K30" s="232"/>
      <c r="L30" s="233"/>
      <c r="N30" s="234"/>
      <c r="O30" s="235"/>
    </row>
    <row r="31" spans="1:15" s="228" customFormat="1" x14ac:dyDescent="0.2">
      <c r="A31" s="228" t="s">
        <v>258</v>
      </c>
      <c r="B31" s="236">
        <f>Table18!U187</f>
        <v>4090.105</v>
      </c>
      <c r="C31" s="236">
        <f>Table18!U153</f>
        <v>3565.58</v>
      </c>
      <c r="D31" s="236">
        <f t="shared" si="0"/>
        <v>7655.6849999999995</v>
      </c>
      <c r="E31" s="234"/>
      <c r="F31" s="248">
        <f t="shared" si="2"/>
        <v>53.425722192070346</v>
      </c>
      <c r="G31" s="248">
        <f t="shared" si="2"/>
        <v>46.574277807929661</v>
      </c>
      <c r="H31" s="249">
        <f t="shared" si="2"/>
        <v>100</v>
      </c>
      <c r="I31" s="231"/>
      <c r="J31" s="230"/>
      <c r="K31" s="232"/>
      <c r="L31" s="236"/>
      <c r="N31" s="234"/>
      <c r="O31" s="235"/>
    </row>
    <row r="32" spans="1:15" s="228" customFormat="1" x14ac:dyDescent="0.2">
      <c r="A32" s="228" t="s">
        <v>213</v>
      </c>
      <c r="B32" s="236">
        <f>Table18!U188</f>
        <v>4494</v>
      </c>
      <c r="C32" s="236">
        <f>Table18!U154</f>
        <v>3433.8710000000001</v>
      </c>
      <c r="D32" s="236">
        <f>SUM(B32:C32)</f>
        <v>7927.8710000000001</v>
      </c>
      <c r="F32" s="248">
        <f t="shared" si="2"/>
        <v>56.686088862949461</v>
      </c>
      <c r="G32" s="248">
        <f t="shared" si="2"/>
        <v>43.313911137050539</v>
      </c>
      <c r="H32" s="249">
        <f t="shared" si="2"/>
        <v>100</v>
      </c>
      <c r="I32" s="231"/>
      <c r="J32" s="230"/>
      <c r="K32" s="232"/>
      <c r="L32" s="236"/>
      <c r="N32" s="234"/>
      <c r="O32" s="235"/>
    </row>
    <row r="33" spans="1:15" s="228" customFormat="1" x14ac:dyDescent="0.2">
      <c r="A33" s="228" t="s">
        <v>259</v>
      </c>
      <c r="B33" s="236">
        <f>Table18!U189</f>
        <v>3915.9769999999999</v>
      </c>
      <c r="C33" s="236">
        <f>Table18!U155</f>
        <v>3454.4009999999998</v>
      </c>
      <c r="D33" s="236">
        <f t="shared" ref="D33:D38" si="3">SUM(B33:C33)</f>
        <v>7370.3779999999997</v>
      </c>
      <c r="F33" s="248">
        <f t="shared" si="2"/>
        <v>53.13129123092466</v>
      </c>
      <c r="G33" s="248">
        <f t="shared" si="2"/>
        <v>46.868708769075347</v>
      </c>
      <c r="H33" s="249">
        <f t="shared" si="2"/>
        <v>100</v>
      </c>
      <c r="I33" s="231"/>
      <c r="J33" s="230"/>
      <c r="K33" s="232"/>
      <c r="L33" s="236"/>
      <c r="N33" s="234"/>
      <c r="O33" s="235"/>
    </row>
    <row r="34" spans="1:15" s="228" customFormat="1" x14ac:dyDescent="0.2">
      <c r="A34" s="228" t="s">
        <v>260</v>
      </c>
      <c r="B34" s="236">
        <f>Table18!U190</f>
        <v>4013.39</v>
      </c>
      <c r="C34" s="236">
        <f>Table18!U156</f>
        <v>3192.2060000000001</v>
      </c>
      <c r="D34" s="236">
        <f t="shared" si="3"/>
        <v>7205.5959999999995</v>
      </c>
      <c r="F34" s="248">
        <f t="shared" si="2"/>
        <v>55.698237869566938</v>
      </c>
      <c r="G34" s="248">
        <f t="shared" si="2"/>
        <v>44.301762130433076</v>
      </c>
      <c r="H34" s="249">
        <f t="shared" si="2"/>
        <v>100</v>
      </c>
      <c r="I34" s="231"/>
      <c r="J34" s="230"/>
      <c r="K34" s="232"/>
      <c r="L34" s="236"/>
      <c r="N34" s="234"/>
      <c r="O34" s="235"/>
    </row>
    <row r="35" spans="1:15" s="228" customFormat="1" x14ac:dyDescent="0.2">
      <c r="A35" s="250" t="s">
        <v>261</v>
      </c>
      <c r="B35" s="236">
        <f>Table18!U191</f>
        <v>4389.241</v>
      </c>
      <c r="C35" s="236">
        <f>Table18!U157</f>
        <v>3630.8249999999998</v>
      </c>
      <c r="D35" s="236">
        <f t="shared" si="3"/>
        <v>8020.0659999999998</v>
      </c>
      <c r="F35" s="248">
        <f t="shared" si="2"/>
        <v>54.728240391039172</v>
      </c>
      <c r="G35" s="248">
        <f t="shared" si="2"/>
        <v>45.271759608960821</v>
      </c>
      <c r="H35" s="249">
        <f t="shared" si="2"/>
        <v>100</v>
      </c>
      <c r="I35" s="231"/>
      <c r="J35" s="230"/>
      <c r="K35" s="232"/>
      <c r="L35" s="236"/>
      <c r="N35" s="234"/>
      <c r="O35" s="235"/>
    </row>
    <row r="36" spans="1:15" s="228" customFormat="1" x14ac:dyDescent="0.2">
      <c r="A36" s="250" t="s">
        <v>262</v>
      </c>
      <c r="B36" s="236">
        <f>Table18!U192</f>
        <v>4421.8490000000002</v>
      </c>
      <c r="C36" s="236">
        <f>Table18!U158</f>
        <v>3951.8440000000001</v>
      </c>
      <c r="D36" s="236">
        <f t="shared" si="3"/>
        <v>8373.6929999999993</v>
      </c>
      <c r="F36" s="248">
        <f t="shared" si="2"/>
        <v>52.806437971872157</v>
      </c>
      <c r="G36" s="248">
        <f t="shared" si="2"/>
        <v>47.193562028127857</v>
      </c>
      <c r="H36" s="249">
        <f t="shared" si="2"/>
        <v>100</v>
      </c>
      <c r="I36" s="231"/>
      <c r="J36" s="230"/>
      <c r="K36" s="232"/>
      <c r="L36" s="236"/>
      <c r="N36" s="234"/>
      <c r="O36" s="235"/>
    </row>
    <row r="37" spans="1:15" s="228" customFormat="1" x14ac:dyDescent="0.2">
      <c r="A37" s="250" t="s">
        <v>263</v>
      </c>
      <c r="B37" s="236">
        <f>Table18!U193</f>
        <v>4977.9030000000002</v>
      </c>
      <c r="C37" s="236">
        <f>Table18!U159</f>
        <v>4065.4140000000002</v>
      </c>
      <c r="D37" s="236">
        <f t="shared" si="3"/>
        <v>9043.3170000000009</v>
      </c>
      <c r="F37" s="248">
        <f t="shared" si="2"/>
        <v>55.045101260964316</v>
      </c>
      <c r="G37" s="248">
        <f t="shared" si="2"/>
        <v>44.954898739035684</v>
      </c>
      <c r="H37" s="249">
        <f t="shared" si="2"/>
        <v>100</v>
      </c>
      <c r="I37" s="230"/>
      <c r="J37" s="230"/>
      <c r="K37" s="232"/>
      <c r="L37" s="233"/>
      <c r="N37" s="234"/>
      <c r="O37" s="235"/>
    </row>
    <row r="38" spans="1:15" s="228" customFormat="1" x14ac:dyDescent="0.2">
      <c r="A38" s="250" t="s">
        <v>219</v>
      </c>
      <c r="B38" s="236">
        <f>Table18!U194</f>
        <v>4679.616</v>
      </c>
      <c r="C38" s="236">
        <f>Table18!U160</f>
        <v>4089.2660000000001</v>
      </c>
      <c r="D38" s="236">
        <f t="shared" si="3"/>
        <v>8768.8819999999996</v>
      </c>
      <c r="F38" s="248">
        <f t="shared" si="2"/>
        <v>53.366164580615873</v>
      </c>
      <c r="G38" s="248">
        <f t="shared" si="2"/>
        <v>46.633835419384141</v>
      </c>
      <c r="H38" s="249">
        <f t="shared" si="2"/>
        <v>100</v>
      </c>
      <c r="I38" s="230"/>
      <c r="J38" s="230"/>
      <c r="K38" s="232"/>
      <c r="L38" s="233"/>
      <c r="N38" s="234"/>
      <c r="O38" s="235"/>
    </row>
    <row r="39" spans="1:15" s="228" customFormat="1" x14ac:dyDescent="0.2">
      <c r="A39" s="250" t="s">
        <v>220</v>
      </c>
      <c r="B39" s="236">
        <f>Table18!U195</f>
        <v>3915.4549999999999</v>
      </c>
      <c r="C39" s="236">
        <f>Table18!U161</f>
        <v>3984.6130000000003</v>
      </c>
      <c r="D39" s="236">
        <f t="shared" ref="D39:D46" si="4">SUM(B39:C39)</f>
        <v>7900.0680000000002</v>
      </c>
      <c r="F39" s="248">
        <f t="shared" si="2"/>
        <v>49.562294906828647</v>
      </c>
      <c r="G39" s="248">
        <f t="shared" si="2"/>
        <v>50.437705093171346</v>
      </c>
      <c r="H39" s="249">
        <f t="shared" si="2"/>
        <v>100</v>
      </c>
      <c r="I39" s="231"/>
      <c r="J39" s="230"/>
      <c r="K39" s="232"/>
      <c r="L39" s="236"/>
      <c r="N39" s="234"/>
      <c r="O39" s="235"/>
    </row>
    <row r="40" spans="1:15" s="228" customFormat="1" x14ac:dyDescent="0.2">
      <c r="A40" s="250" t="s">
        <v>221</v>
      </c>
      <c r="B40" s="236">
        <f>Table18!U196</f>
        <v>4462.3339999999998</v>
      </c>
      <c r="C40" s="236">
        <f>Table18!U162</f>
        <v>3963.5959999999995</v>
      </c>
      <c r="D40" s="236">
        <f t="shared" si="4"/>
        <v>8425.93</v>
      </c>
      <c r="F40" s="248">
        <f t="shared" si="2"/>
        <v>52.959542744836476</v>
      </c>
      <c r="G40" s="248">
        <f t="shared" si="2"/>
        <v>47.040457255163517</v>
      </c>
      <c r="H40" s="249">
        <f t="shared" si="2"/>
        <v>100</v>
      </c>
      <c r="I40" s="231"/>
      <c r="J40" s="230"/>
      <c r="K40" s="232"/>
      <c r="L40" s="236"/>
      <c r="N40" s="234"/>
      <c r="O40" s="235"/>
    </row>
    <row r="41" spans="1:15" s="228" customFormat="1" x14ac:dyDescent="0.2">
      <c r="A41" s="250" t="s">
        <v>264</v>
      </c>
      <c r="B41" s="236">
        <f>Table18!U197</f>
        <v>4692.3779999999997</v>
      </c>
      <c r="C41" s="236">
        <f>Table18!U163</f>
        <v>3957.0140000000001</v>
      </c>
      <c r="D41" s="236">
        <f t="shared" si="4"/>
        <v>8649.3919999999998</v>
      </c>
      <c r="F41" s="248">
        <f t="shared" si="2"/>
        <v>54.250957755180941</v>
      </c>
      <c r="G41" s="248">
        <f t="shared" si="2"/>
        <v>45.749042244819059</v>
      </c>
      <c r="H41" s="249">
        <f t="shared" si="2"/>
        <v>100</v>
      </c>
      <c r="I41" s="231"/>
      <c r="J41" s="230"/>
      <c r="K41" s="232"/>
      <c r="L41" s="236"/>
      <c r="N41" s="234"/>
      <c r="O41" s="235"/>
    </row>
    <row r="42" spans="1:15" s="228" customFormat="1" x14ac:dyDescent="0.2">
      <c r="A42" s="251" t="s">
        <v>265</v>
      </c>
      <c r="B42" s="236">
        <f>Table18!U198</f>
        <v>4610.7710000000006</v>
      </c>
      <c r="C42" s="236">
        <f>Table18!U164</f>
        <v>3265.2130000000002</v>
      </c>
      <c r="D42" s="236">
        <f t="shared" si="4"/>
        <v>7875.9840000000004</v>
      </c>
      <c r="F42" s="248">
        <f t="shared" si="2"/>
        <v>58.542158033840607</v>
      </c>
      <c r="G42" s="248">
        <f t="shared" si="2"/>
        <v>41.457841966159407</v>
      </c>
      <c r="H42" s="249">
        <f t="shared" si="2"/>
        <v>100</v>
      </c>
      <c r="I42" s="231"/>
      <c r="J42" s="230"/>
      <c r="K42" s="232"/>
      <c r="L42" s="236"/>
      <c r="N42" s="234"/>
      <c r="O42" s="235"/>
    </row>
    <row r="43" spans="1:15" s="228" customFormat="1" x14ac:dyDescent="0.2">
      <c r="A43" s="251" t="s">
        <v>266</v>
      </c>
      <c r="B43" s="236">
        <f>Table18!U199</f>
        <v>4443.5749999999998</v>
      </c>
      <c r="C43" s="236">
        <f>Table18!U165</f>
        <v>2955.8580000000002</v>
      </c>
      <c r="D43" s="236">
        <f t="shared" si="4"/>
        <v>7399.433</v>
      </c>
      <c r="F43" s="248">
        <f t="shared" si="2"/>
        <v>60.052912162323793</v>
      </c>
      <c r="G43" s="248">
        <f t="shared" si="2"/>
        <v>39.947087837676214</v>
      </c>
      <c r="H43" s="249">
        <f t="shared" si="2"/>
        <v>100</v>
      </c>
      <c r="I43" s="231"/>
      <c r="J43" s="230"/>
      <c r="K43" s="232"/>
      <c r="L43" s="236"/>
      <c r="N43" s="234"/>
      <c r="O43" s="235"/>
    </row>
    <row r="44" spans="1:15" s="228" customFormat="1" x14ac:dyDescent="0.2">
      <c r="A44" s="251" t="s">
        <v>267</v>
      </c>
      <c r="B44" s="236">
        <f>Table18!U200</f>
        <v>5007.7620000000006</v>
      </c>
      <c r="C44" s="236">
        <f>Table18!U166</f>
        <v>3437.6390000000001</v>
      </c>
      <c r="D44" s="236">
        <f t="shared" si="4"/>
        <v>8445.4010000000017</v>
      </c>
      <c r="F44" s="248">
        <f t="shared" ref="F44:H59" si="5">(B44/$D44)*100</f>
        <v>59.29572793523954</v>
      </c>
      <c r="G44" s="248">
        <f t="shared" si="5"/>
        <v>40.704272064760453</v>
      </c>
      <c r="H44" s="249">
        <f t="shared" si="5"/>
        <v>100</v>
      </c>
      <c r="I44" s="231"/>
      <c r="J44" s="230"/>
      <c r="K44" s="232"/>
      <c r="L44" s="236"/>
      <c r="N44" s="234"/>
      <c r="O44" s="235"/>
    </row>
    <row r="45" spans="1:15" s="228" customFormat="1" x14ac:dyDescent="0.2">
      <c r="A45" s="251" t="s">
        <v>268</v>
      </c>
      <c r="B45" s="236">
        <f>Table18!U201</f>
        <v>4720.9030000000002</v>
      </c>
      <c r="C45" s="236">
        <f>Table18!U167</f>
        <v>3431.2529999999997</v>
      </c>
      <c r="D45" s="236">
        <f t="shared" si="4"/>
        <v>8152.1559999999999</v>
      </c>
      <c r="F45" s="248">
        <f t="shared" si="5"/>
        <v>57.909870713955925</v>
      </c>
      <c r="G45" s="248">
        <f t="shared" si="5"/>
        <v>42.090129286044082</v>
      </c>
      <c r="H45" s="249">
        <f t="shared" si="5"/>
        <v>100</v>
      </c>
      <c r="I45" s="231"/>
      <c r="J45" s="230"/>
      <c r="K45" s="232"/>
      <c r="L45" s="236"/>
      <c r="N45" s="234"/>
      <c r="O45" s="235"/>
    </row>
    <row r="46" spans="1:15" s="228" customFormat="1" x14ac:dyDescent="0.2">
      <c r="A46" s="251" t="s">
        <v>269</v>
      </c>
      <c r="B46" s="236">
        <f>Table18!U202</f>
        <v>4213.5419999999995</v>
      </c>
      <c r="C46" s="236">
        <f>Table18!U168</f>
        <v>3317.384</v>
      </c>
      <c r="D46" s="236">
        <f t="shared" si="4"/>
        <v>7530.9259999999995</v>
      </c>
      <c r="F46" s="248">
        <f t="shared" si="5"/>
        <v>55.949852647602697</v>
      </c>
      <c r="G46" s="248">
        <f t="shared" si="5"/>
        <v>44.050147352397303</v>
      </c>
      <c r="H46" s="249">
        <f t="shared" si="5"/>
        <v>100</v>
      </c>
      <c r="I46" s="231"/>
      <c r="J46" s="230"/>
      <c r="K46" s="232"/>
      <c r="L46" s="236"/>
      <c r="N46" s="234"/>
      <c r="O46" s="235"/>
    </row>
    <row r="47" spans="1:15" s="228" customFormat="1" x14ac:dyDescent="0.2">
      <c r="A47" s="251" t="s">
        <v>270</v>
      </c>
      <c r="B47" s="236">
        <f>Table18!U203</f>
        <v>4575.2150000000001</v>
      </c>
      <c r="C47" s="236">
        <f>Table18!U169</f>
        <v>3387.4229999999998</v>
      </c>
      <c r="D47" s="236">
        <f t="shared" ref="D47:D52" si="6">SUM(B47:C47)</f>
        <v>7962.6379999999999</v>
      </c>
      <c r="F47" s="248">
        <f t="shared" si="5"/>
        <v>57.458533214746168</v>
      </c>
      <c r="G47" s="248">
        <f t="shared" si="5"/>
        <v>42.541466785253832</v>
      </c>
      <c r="H47" s="249">
        <f t="shared" si="5"/>
        <v>100</v>
      </c>
      <c r="I47" s="231"/>
      <c r="J47" s="230"/>
      <c r="K47" s="232"/>
      <c r="L47" s="236"/>
      <c r="N47" s="234"/>
      <c r="O47" s="235"/>
    </row>
    <row r="48" spans="1:15" s="228" customFormat="1" x14ac:dyDescent="0.2">
      <c r="A48" s="251" t="s">
        <v>229</v>
      </c>
      <c r="B48" s="236">
        <f>Table18!U204</f>
        <v>4658.9470000000001</v>
      </c>
      <c r="C48" s="236">
        <f>Table18!U170</f>
        <v>3171.7359999999999</v>
      </c>
      <c r="D48" s="236">
        <f t="shared" si="6"/>
        <v>7830.683</v>
      </c>
      <c r="F48" s="248">
        <f t="shared" si="5"/>
        <v>59.496049067495136</v>
      </c>
      <c r="G48" s="248">
        <f t="shared" si="5"/>
        <v>40.503950932504864</v>
      </c>
      <c r="H48" s="249">
        <f t="shared" si="5"/>
        <v>100</v>
      </c>
      <c r="I48" s="231"/>
      <c r="J48" s="230"/>
      <c r="K48" s="232"/>
      <c r="L48" s="236"/>
      <c r="N48" s="234"/>
      <c r="O48" s="235"/>
    </row>
    <row r="49" spans="1:28" s="228" customFormat="1" x14ac:dyDescent="0.2">
      <c r="A49" s="251" t="s">
        <v>271</v>
      </c>
      <c r="B49" s="236">
        <f>Table18!U205</f>
        <v>4895.1099999999997</v>
      </c>
      <c r="C49" s="236">
        <f>Table18!U171</f>
        <v>3588.9079999999999</v>
      </c>
      <c r="D49" s="236">
        <f t="shared" si="6"/>
        <v>8484.018</v>
      </c>
      <c r="F49" s="248">
        <f t="shared" si="5"/>
        <v>57.698015256450418</v>
      </c>
      <c r="G49" s="248">
        <f t="shared" si="5"/>
        <v>42.301984743549575</v>
      </c>
      <c r="H49" s="249">
        <f t="shared" si="5"/>
        <v>100</v>
      </c>
      <c r="I49" s="230"/>
      <c r="J49" s="230"/>
      <c r="K49" s="232"/>
      <c r="L49" s="236"/>
      <c r="N49" s="234"/>
      <c r="O49" s="235"/>
    </row>
    <row r="50" spans="1:28" s="228" customFormat="1" x14ac:dyDescent="0.2">
      <c r="A50" s="251" t="s">
        <v>272</v>
      </c>
      <c r="B50" s="236">
        <f>Table18!U206</f>
        <v>5076.0990000000002</v>
      </c>
      <c r="C50" s="236">
        <f>Table18!U172</f>
        <v>3905.5709999999999</v>
      </c>
      <c r="D50" s="236">
        <f t="shared" si="6"/>
        <v>8981.67</v>
      </c>
      <c r="F50" s="248">
        <f t="shared" si="5"/>
        <v>56.516204670178261</v>
      </c>
      <c r="G50" s="248">
        <f t="shared" si="5"/>
        <v>43.483795329821731</v>
      </c>
      <c r="H50" s="249">
        <f t="shared" si="5"/>
        <v>100</v>
      </c>
      <c r="I50" s="231"/>
      <c r="J50" s="230"/>
      <c r="K50" s="232"/>
      <c r="L50" s="236"/>
      <c r="N50" s="234"/>
      <c r="O50" s="235"/>
    </row>
    <row r="51" spans="1:28" s="228" customFormat="1" x14ac:dyDescent="0.2">
      <c r="A51" s="251" t="s">
        <v>232</v>
      </c>
      <c r="B51" s="236">
        <f>Table18!U207</f>
        <v>4794.2649999999994</v>
      </c>
      <c r="C51" s="236">
        <f>Table18!U173</f>
        <v>3667.4670000000001</v>
      </c>
      <c r="D51" s="236">
        <f t="shared" si="6"/>
        <v>8461.732</v>
      </c>
      <c r="F51" s="248">
        <f t="shared" si="5"/>
        <v>56.658199526999908</v>
      </c>
      <c r="G51" s="248">
        <f t="shared" si="5"/>
        <v>43.341800473000092</v>
      </c>
      <c r="H51" s="249">
        <f t="shared" si="5"/>
        <v>100</v>
      </c>
      <c r="I51" s="231"/>
      <c r="J51" s="230"/>
      <c r="K51" s="232"/>
      <c r="L51" s="236"/>
      <c r="N51" s="234"/>
      <c r="O51" s="235"/>
    </row>
    <row r="52" spans="1:28" s="252" customFormat="1" x14ac:dyDescent="0.2">
      <c r="A52" s="251" t="s">
        <v>233</v>
      </c>
      <c r="B52" s="236">
        <f>Table18!U208</f>
        <v>4893.3080000000009</v>
      </c>
      <c r="C52" s="236">
        <f>Table18!U174</f>
        <v>3762.8040000000001</v>
      </c>
      <c r="D52" s="236">
        <f t="shared" si="6"/>
        <v>8656.112000000001</v>
      </c>
      <c r="E52" s="228"/>
      <c r="F52" s="248">
        <f t="shared" si="5"/>
        <v>56.530091107878455</v>
      </c>
      <c r="G52" s="248">
        <f t="shared" si="5"/>
        <v>43.469908892121538</v>
      </c>
      <c r="H52" s="249">
        <f t="shared" si="5"/>
        <v>100</v>
      </c>
      <c r="I52" s="231"/>
      <c r="J52" s="230"/>
      <c r="K52" s="232"/>
      <c r="L52" s="236"/>
      <c r="M52" s="228"/>
      <c r="N52" s="234"/>
      <c r="O52" s="235"/>
      <c r="P52" s="228"/>
      <c r="Q52" s="228"/>
      <c r="R52" s="228"/>
      <c r="S52" s="228"/>
      <c r="T52" s="228"/>
      <c r="U52" s="228"/>
      <c r="V52" s="228"/>
      <c r="W52" s="228"/>
    </row>
    <row r="53" spans="1:28" s="228" customFormat="1" x14ac:dyDescent="0.2">
      <c r="A53" s="251" t="s">
        <v>234</v>
      </c>
      <c r="B53" s="236">
        <f>Table18!U209</f>
        <v>5119.116</v>
      </c>
      <c r="C53" s="236">
        <f>Table18!U175</f>
        <v>3869.7640000000001</v>
      </c>
      <c r="D53" s="236">
        <f t="shared" ref="D53:D58" si="7">SUM(B53:C53)</f>
        <v>8988.880000000001</v>
      </c>
      <c r="F53" s="248">
        <f t="shared" si="5"/>
        <v>56.949430852341997</v>
      </c>
      <c r="G53" s="248">
        <f t="shared" si="5"/>
        <v>43.050569147657988</v>
      </c>
      <c r="H53" s="249">
        <f t="shared" si="5"/>
        <v>100</v>
      </c>
      <c r="I53" s="231"/>
      <c r="J53" s="230"/>
      <c r="K53" s="232"/>
      <c r="L53" s="236"/>
      <c r="N53" s="234"/>
      <c r="O53" s="235"/>
    </row>
    <row r="54" spans="1:28" s="228" customFormat="1" x14ac:dyDescent="0.2">
      <c r="A54" s="251" t="s">
        <v>235</v>
      </c>
      <c r="B54" s="236">
        <f>Table18!U210</f>
        <v>5102.9520000000002</v>
      </c>
      <c r="C54" s="236">
        <f>Table18!U176</f>
        <v>3866.645</v>
      </c>
      <c r="D54" s="236">
        <f t="shared" si="7"/>
        <v>8969.5969999999998</v>
      </c>
      <c r="F54" s="248">
        <f t="shared" si="5"/>
        <v>56.891652991767636</v>
      </c>
      <c r="G54" s="248">
        <f t="shared" si="5"/>
        <v>43.108347008232364</v>
      </c>
      <c r="H54" s="249">
        <f t="shared" si="5"/>
        <v>100</v>
      </c>
      <c r="I54" s="231"/>
      <c r="J54" s="230"/>
      <c r="K54" s="232"/>
      <c r="L54" s="236"/>
      <c r="N54" s="234"/>
      <c r="O54" s="235"/>
    </row>
    <row r="55" spans="1:28" s="228" customFormat="1" x14ac:dyDescent="0.2">
      <c r="A55" s="251" t="s">
        <v>236</v>
      </c>
      <c r="B55" s="236">
        <f>Table18!U211</f>
        <v>5278.8319999999994</v>
      </c>
      <c r="C55" s="236">
        <f>Table18!U177</f>
        <v>4013.6660000000002</v>
      </c>
      <c r="D55" s="236">
        <f t="shared" si="7"/>
        <v>9292.4979999999996</v>
      </c>
      <c r="F55" s="248">
        <f t="shared" si="5"/>
        <v>56.807459092269909</v>
      </c>
      <c r="G55" s="248">
        <f t="shared" si="5"/>
        <v>43.192540907730084</v>
      </c>
      <c r="H55" s="249">
        <f t="shared" si="5"/>
        <v>100</v>
      </c>
      <c r="I55" s="231"/>
      <c r="J55" s="230"/>
      <c r="K55" s="232"/>
      <c r="L55" s="236"/>
      <c r="N55" s="234"/>
      <c r="O55" s="235"/>
    </row>
    <row r="56" spans="1:28" s="228" customFormat="1" x14ac:dyDescent="0.2">
      <c r="A56" s="251" t="s">
        <v>237</v>
      </c>
      <c r="B56" s="236">
        <f>Table18!U212</f>
        <v>4938.8130000000001</v>
      </c>
      <c r="C56" s="236">
        <f>Table18!U178</f>
        <v>4059.7769999999996</v>
      </c>
      <c r="D56" s="236">
        <f t="shared" si="7"/>
        <v>8998.59</v>
      </c>
      <c r="F56" s="248">
        <f t="shared" si="5"/>
        <v>54.884298540104616</v>
      </c>
      <c r="G56" s="248">
        <f t="shared" si="5"/>
        <v>45.115701459895377</v>
      </c>
      <c r="H56" s="249">
        <f t="shared" si="5"/>
        <v>100</v>
      </c>
      <c r="I56" s="231"/>
      <c r="J56" s="230"/>
      <c r="K56" s="232"/>
      <c r="L56" s="236"/>
      <c r="N56" s="234"/>
      <c r="O56" s="235"/>
    </row>
    <row r="57" spans="1:28" s="228" customFormat="1" x14ac:dyDescent="0.2">
      <c r="A57" s="251" t="s">
        <v>238</v>
      </c>
      <c r="B57" s="236">
        <f>Table18!U213</f>
        <v>4351.25</v>
      </c>
      <c r="C57" s="236">
        <f>Table18!U179</f>
        <v>3797.7110000000002</v>
      </c>
      <c r="D57" s="236">
        <f t="shared" si="7"/>
        <v>8148.9610000000002</v>
      </c>
      <c r="F57" s="248">
        <f t="shared" si="5"/>
        <v>53.396377771350231</v>
      </c>
      <c r="G57" s="248">
        <f t="shared" si="5"/>
        <v>46.603622228649769</v>
      </c>
      <c r="H57" s="249">
        <f t="shared" si="5"/>
        <v>100</v>
      </c>
      <c r="I57" s="231"/>
      <c r="J57" s="230"/>
      <c r="K57" s="232"/>
      <c r="L57" s="236"/>
      <c r="N57" s="234"/>
      <c r="O57" s="235"/>
    </row>
    <row r="58" spans="1:28" s="228" customFormat="1" x14ac:dyDescent="0.2">
      <c r="A58" s="251" t="s">
        <v>239</v>
      </c>
      <c r="B58" s="236">
        <f>Table18!U214</f>
        <v>5091.7439999999997</v>
      </c>
      <c r="C58" s="236">
        <f>Table18!U180</f>
        <v>4141.4742500000002</v>
      </c>
      <c r="D58" s="236">
        <f t="shared" si="7"/>
        <v>9233.2182499999999</v>
      </c>
      <c r="F58" s="248">
        <f t="shared" si="5"/>
        <v>55.145929210543677</v>
      </c>
      <c r="G58" s="248">
        <f t="shared" si="5"/>
        <v>44.854070789456323</v>
      </c>
      <c r="H58" s="249">
        <f t="shared" si="5"/>
        <v>100</v>
      </c>
      <c r="I58" s="231"/>
      <c r="J58" s="230"/>
      <c r="K58" s="232"/>
      <c r="L58" s="236"/>
      <c r="N58" s="234"/>
      <c r="O58" s="235"/>
    </row>
    <row r="59" spans="1:28" s="228" customFormat="1" x14ac:dyDescent="0.2">
      <c r="A59" s="251" t="s">
        <v>348</v>
      </c>
      <c r="B59" s="236">
        <f>Table18!U215</f>
        <v>5155.3889999999992</v>
      </c>
      <c r="C59" s="236">
        <f>Table18!U181</f>
        <v>4001.8649999999998</v>
      </c>
      <c r="D59" s="236">
        <f>SUM(B59:C59)</f>
        <v>9157.253999999999</v>
      </c>
      <c r="F59" s="248">
        <f>(B59/$D59)*100</f>
        <v>56.298416534039561</v>
      </c>
      <c r="G59" s="248">
        <f t="shared" si="5"/>
        <v>43.701583465960432</v>
      </c>
      <c r="H59" s="249">
        <f t="shared" si="5"/>
        <v>100</v>
      </c>
      <c r="I59" s="231"/>
      <c r="J59" s="230"/>
      <c r="K59" s="232"/>
      <c r="L59" s="236"/>
      <c r="N59" s="234"/>
      <c r="O59" s="235"/>
    </row>
    <row r="60" spans="1:28" s="228" customFormat="1" x14ac:dyDescent="0.2">
      <c r="A60" s="253" t="s">
        <v>381</v>
      </c>
      <c r="B60" s="236">
        <f>Table18!U216</f>
        <v>5187.4250000000002</v>
      </c>
      <c r="C60" s="236">
        <f>Table18!U182</f>
        <v>4063.049</v>
      </c>
      <c r="D60" s="236">
        <f>SUM(B60:C60)</f>
        <v>9250.4740000000002</v>
      </c>
      <c r="F60" s="248">
        <f>(B60/$D60)*100</f>
        <v>56.077396682591619</v>
      </c>
      <c r="G60" s="248">
        <f t="shared" ref="G60" si="8">(C60/$D60)*100</f>
        <v>43.922603317408381</v>
      </c>
      <c r="H60" s="249">
        <f t="shared" ref="H60" si="9">(D60/$D60)*100</f>
        <v>100</v>
      </c>
      <c r="I60" s="231"/>
      <c r="J60" s="230"/>
    </row>
    <row r="61" spans="1:28" s="228" customFormat="1" x14ac:dyDescent="0.2">
      <c r="A61" s="253" t="s">
        <v>378</v>
      </c>
      <c r="B61" s="236">
        <f>Table18!U217</f>
        <v>5172.46</v>
      </c>
      <c r="C61" s="236">
        <f>Table18!U183</f>
        <v>4132.5169999999998</v>
      </c>
      <c r="D61" s="236">
        <f>SUM(B61:C61)</f>
        <v>9304.976999999999</v>
      </c>
      <c r="F61" s="248">
        <f>(B61/$D61)*100</f>
        <v>55.588100862581399</v>
      </c>
      <c r="G61" s="248">
        <f t="shared" ref="G61" si="10">(C61/$D61)*100</f>
        <v>44.411899137418615</v>
      </c>
      <c r="H61" s="249">
        <f t="shared" ref="H61" si="11">(D61/$D61)*100</f>
        <v>100</v>
      </c>
      <c r="I61" s="231"/>
      <c r="J61" s="230"/>
    </row>
    <row r="62" spans="1:28" s="228" customFormat="1" x14ac:dyDescent="0.2">
      <c r="A62" s="254" t="s">
        <v>380</v>
      </c>
      <c r="B62" s="255">
        <v>5337.9941570626761</v>
      </c>
      <c r="C62" s="255">
        <v>4066.4690000000001</v>
      </c>
      <c r="D62" s="255">
        <f>SUM(B62:C62)</f>
        <v>9404.4631570626771</v>
      </c>
      <c r="E62" s="256"/>
      <c r="F62" s="257">
        <f>(B62/$D62)*100</f>
        <v>56.760221906487928</v>
      </c>
      <c r="G62" s="257">
        <f t="shared" ref="G62" si="12">(C62/$D62)*100</f>
        <v>43.239778093512058</v>
      </c>
      <c r="H62" s="258">
        <f t="shared" ref="H62" si="13">(D62/$D62)*100</f>
        <v>100</v>
      </c>
    </row>
    <row r="63" spans="1:28" s="260" customFormat="1" ht="12.75" x14ac:dyDescent="0.2">
      <c r="A63" s="259" t="s">
        <v>344</v>
      </c>
      <c r="B63" s="237"/>
      <c r="C63" s="237"/>
      <c r="D63" s="237"/>
      <c r="E63" s="237"/>
      <c r="F63" s="237"/>
      <c r="G63" s="237"/>
      <c r="H63" s="239"/>
      <c r="I63" s="237"/>
      <c r="J63" s="238"/>
      <c r="K63" s="237"/>
      <c r="L63" s="239"/>
      <c r="M63" s="239"/>
      <c r="N63" s="239"/>
      <c r="O63" s="239"/>
      <c r="P63" s="239"/>
      <c r="Q63" s="239"/>
      <c r="R63" s="239"/>
      <c r="S63" s="239"/>
      <c r="T63" s="239"/>
      <c r="U63" s="228"/>
      <c r="V63" s="228"/>
      <c r="W63" s="228"/>
      <c r="X63" s="228"/>
      <c r="Y63" s="228"/>
      <c r="Z63" s="228"/>
      <c r="AA63" s="228"/>
      <c r="AB63" s="228"/>
    </row>
    <row r="64" spans="1:28" s="228" customFormat="1" x14ac:dyDescent="0.2">
      <c r="A64" s="261" t="s">
        <v>424</v>
      </c>
      <c r="J64" s="229"/>
    </row>
    <row r="65" spans="1:10" s="228" customFormat="1" x14ac:dyDescent="0.2">
      <c r="A65" s="251" t="s">
        <v>408</v>
      </c>
      <c r="J65" s="229"/>
    </row>
    <row r="66" spans="1:10" s="228" customFormat="1" x14ac:dyDescent="0.2">
      <c r="A66" s="251" t="s">
        <v>332</v>
      </c>
      <c r="J66" s="229"/>
    </row>
  </sheetData>
  <pageMargins left="0.75" right="0.75" top="1" bottom="1" header="0.5" footer="0.5"/>
  <pageSetup scale="89"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43699A-E44F-4FBC-85CE-EBE96A05CAE9}">
  <dimension ref="A1:AM62"/>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RowHeight="15" x14ac:dyDescent="0.25"/>
  <cols>
    <col min="1" max="1" width="12.140625" style="65" customWidth="1"/>
    <col min="2" max="5" width="15.140625" style="21" customWidth="1"/>
    <col min="6" max="6" width="14.7109375" style="21" customWidth="1"/>
    <col min="7" max="7" width="15.140625" style="21" customWidth="1"/>
    <col min="8" max="8" width="16.140625" style="21" customWidth="1"/>
    <col min="9" max="10" width="15.42578125" style="21" customWidth="1"/>
    <col min="11" max="11" width="13.42578125" style="206" customWidth="1"/>
    <col min="12" max="13" width="14.7109375" style="21" customWidth="1"/>
    <col min="14" max="14" width="16.7109375" style="21" bestFit="1" customWidth="1"/>
    <col min="15" max="15" width="16.7109375" style="21" customWidth="1"/>
    <col min="16" max="16" width="14.7109375" style="21" customWidth="1"/>
    <col min="255" max="255" width="10.85546875" customWidth="1"/>
    <col min="256" max="262" width="15.140625" customWidth="1"/>
    <col min="511" max="511" width="10.85546875" customWidth="1"/>
    <col min="512" max="518" width="15.140625" customWidth="1"/>
    <col min="767" max="767" width="10.85546875" customWidth="1"/>
    <col min="768" max="774" width="15.140625" customWidth="1"/>
    <col min="1023" max="1023" width="10.85546875" customWidth="1"/>
    <col min="1024" max="1030" width="15.140625" customWidth="1"/>
    <col min="1279" max="1279" width="10.85546875" customWidth="1"/>
    <col min="1280" max="1286" width="15.140625" customWidth="1"/>
    <col min="1535" max="1535" width="10.85546875" customWidth="1"/>
    <col min="1536" max="1542" width="15.140625" customWidth="1"/>
    <col min="1791" max="1791" width="10.85546875" customWidth="1"/>
    <col min="1792" max="1798" width="15.140625" customWidth="1"/>
    <col min="2047" max="2047" width="10.85546875" customWidth="1"/>
    <col min="2048" max="2054" width="15.140625" customWidth="1"/>
    <col min="2303" max="2303" width="10.85546875" customWidth="1"/>
    <col min="2304" max="2310" width="15.140625" customWidth="1"/>
    <col min="2559" max="2559" width="10.85546875" customWidth="1"/>
    <col min="2560" max="2566" width="15.140625" customWidth="1"/>
    <col min="2815" max="2815" width="10.85546875" customWidth="1"/>
    <col min="2816" max="2822" width="15.140625" customWidth="1"/>
    <col min="3071" max="3071" width="10.85546875" customWidth="1"/>
    <col min="3072" max="3078" width="15.140625" customWidth="1"/>
    <col min="3327" max="3327" width="10.85546875" customWidth="1"/>
    <col min="3328" max="3334" width="15.140625" customWidth="1"/>
    <col min="3583" max="3583" width="10.85546875" customWidth="1"/>
    <col min="3584" max="3590" width="15.140625" customWidth="1"/>
    <col min="3839" max="3839" width="10.85546875" customWidth="1"/>
    <col min="3840" max="3846" width="15.140625" customWidth="1"/>
    <col min="4095" max="4095" width="10.85546875" customWidth="1"/>
    <col min="4096" max="4102" width="15.140625" customWidth="1"/>
    <col min="4351" max="4351" width="10.85546875" customWidth="1"/>
    <col min="4352" max="4358" width="15.140625" customWidth="1"/>
    <col min="4607" max="4607" width="10.85546875" customWidth="1"/>
    <col min="4608" max="4614" width="15.140625" customWidth="1"/>
    <col min="4863" max="4863" width="10.85546875" customWidth="1"/>
    <col min="4864" max="4870" width="15.140625" customWidth="1"/>
    <col min="5119" max="5119" width="10.85546875" customWidth="1"/>
    <col min="5120" max="5126" width="15.140625" customWidth="1"/>
    <col min="5375" max="5375" width="10.85546875" customWidth="1"/>
    <col min="5376" max="5382" width="15.140625" customWidth="1"/>
    <col min="5631" max="5631" width="10.85546875" customWidth="1"/>
    <col min="5632" max="5638" width="15.140625" customWidth="1"/>
    <col min="5887" max="5887" width="10.85546875" customWidth="1"/>
    <col min="5888" max="5894" width="15.140625" customWidth="1"/>
    <col min="6143" max="6143" width="10.85546875" customWidth="1"/>
    <col min="6144" max="6150" width="15.140625" customWidth="1"/>
    <col min="6399" max="6399" width="10.85546875" customWidth="1"/>
    <col min="6400" max="6406" width="15.140625" customWidth="1"/>
    <col min="6655" max="6655" width="10.85546875" customWidth="1"/>
    <col min="6656" max="6662" width="15.140625" customWidth="1"/>
    <col min="6911" max="6911" width="10.85546875" customWidth="1"/>
    <col min="6912" max="6918" width="15.140625" customWidth="1"/>
    <col min="7167" max="7167" width="10.85546875" customWidth="1"/>
    <col min="7168" max="7174" width="15.140625" customWidth="1"/>
    <col min="7423" max="7423" width="10.85546875" customWidth="1"/>
    <col min="7424" max="7430" width="15.140625" customWidth="1"/>
    <col min="7679" max="7679" width="10.85546875" customWidth="1"/>
    <col min="7680" max="7686" width="15.140625" customWidth="1"/>
    <col min="7935" max="7935" width="10.85546875" customWidth="1"/>
    <col min="7936" max="7942" width="15.140625" customWidth="1"/>
    <col min="8191" max="8191" width="10.85546875" customWidth="1"/>
    <col min="8192" max="8198" width="15.140625" customWidth="1"/>
    <col min="8447" max="8447" width="10.85546875" customWidth="1"/>
    <col min="8448" max="8454" width="15.140625" customWidth="1"/>
    <col min="8703" max="8703" width="10.85546875" customWidth="1"/>
    <col min="8704" max="8710" width="15.140625" customWidth="1"/>
    <col min="8959" max="8959" width="10.85546875" customWidth="1"/>
    <col min="8960" max="8966" width="15.140625" customWidth="1"/>
    <col min="9215" max="9215" width="10.85546875" customWidth="1"/>
    <col min="9216" max="9222" width="15.140625" customWidth="1"/>
    <col min="9471" max="9471" width="10.85546875" customWidth="1"/>
    <col min="9472" max="9478" width="15.140625" customWidth="1"/>
    <col min="9727" max="9727" width="10.85546875" customWidth="1"/>
    <col min="9728" max="9734" width="15.140625" customWidth="1"/>
    <col min="9983" max="9983" width="10.85546875" customWidth="1"/>
    <col min="9984" max="9990" width="15.140625" customWidth="1"/>
    <col min="10239" max="10239" width="10.85546875" customWidth="1"/>
    <col min="10240" max="10246" width="15.140625" customWidth="1"/>
    <col min="10495" max="10495" width="10.85546875" customWidth="1"/>
    <col min="10496" max="10502" width="15.140625" customWidth="1"/>
    <col min="10751" max="10751" width="10.85546875" customWidth="1"/>
    <col min="10752" max="10758" width="15.140625" customWidth="1"/>
    <col min="11007" max="11007" width="10.85546875" customWidth="1"/>
    <col min="11008" max="11014" width="15.140625" customWidth="1"/>
    <col min="11263" max="11263" width="10.85546875" customWidth="1"/>
    <col min="11264" max="11270" width="15.140625" customWidth="1"/>
    <col min="11519" max="11519" width="10.85546875" customWidth="1"/>
    <col min="11520" max="11526" width="15.140625" customWidth="1"/>
    <col min="11775" max="11775" width="10.85546875" customWidth="1"/>
    <col min="11776" max="11782" width="15.140625" customWidth="1"/>
    <col min="12031" max="12031" width="10.85546875" customWidth="1"/>
    <col min="12032" max="12038" width="15.140625" customWidth="1"/>
    <col min="12287" max="12287" width="10.85546875" customWidth="1"/>
    <col min="12288" max="12294" width="15.140625" customWidth="1"/>
    <col min="12543" max="12543" width="10.85546875" customWidth="1"/>
    <col min="12544" max="12550" width="15.140625" customWidth="1"/>
    <col min="12799" max="12799" width="10.85546875" customWidth="1"/>
    <col min="12800" max="12806" width="15.140625" customWidth="1"/>
    <col min="13055" max="13055" width="10.85546875" customWidth="1"/>
    <col min="13056" max="13062" width="15.140625" customWidth="1"/>
    <col min="13311" max="13311" width="10.85546875" customWidth="1"/>
    <col min="13312" max="13318" width="15.140625" customWidth="1"/>
    <col min="13567" max="13567" width="10.85546875" customWidth="1"/>
    <col min="13568" max="13574" width="15.140625" customWidth="1"/>
    <col min="13823" max="13823" width="10.85546875" customWidth="1"/>
    <col min="13824" max="13830" width="15.140625" customWidth="1"/>
    <col min="14079" max="14079" width="10.85546875" customWidth="1"/>
    <col min="14080" max="14086" width="15.140625" customWidth="1"/>
    <col min="14335" max="14335" width="10.85546875" customWidth="1"/>
    <col min="14336" max="14342" width="15.140625" customWidth="1"/>
    <col min="14591" max="14591" width="10.85546875" customWidth="1"/>
    <col min="14592" max="14598" width="15.140625" customWidth="1"/>
    <col min="14847" max="14847" width="10.85546875" customWidth="1"/>
    <col min="14848" max="14854" width="15.140625" customWidth="1"/>
    <col min="15103" max="15103" width="10.85546875" customWidth="1"/>
    <col min="15104" max="15110" width="15.140625" customWidth="1"/>
    <col min="15359" max="15359" width="10.85546875" customWidth="1"/>
    <col min="15360" max="15366" width="15.140625" customWidth="1"/>
    <col min="15615" max="15615" width="10.85546875" customWidth="1"/>
    <col min="15616" max="15622" width="15.140625" customWidth="1"/>
    <col min="15871" max="15871" width="10.85546875" customWidth="1"/>
    <col min="15872" max="15878" width="15.140625" customWidth="1"/>
    <col min="16127" max="16127" width="10.85546875" customWidth="1"/>
    <col min="16128" max="16134" width="15.140625" customWidth="1"/>
  </cols>
  <sheetData>
    <row r="1" spans="1:16" s="21" customFormat="1" ht="11.25" x14ac:dyDescent="0.2">
      <c r="A1" s="42" t="s">
        <v>417</v>
      </c>
      <c r="B1" s="44"/>
      <c r="C1" s="44"/>
      <c r="D1" s="44"/>
      <c r="E1" s="44"/>
      <c r="F1" s="44"/>
      <c r="G1" s="44"/>
      <c r="H1" s="44"/>
      <c r="P1" s="44"/>
    </row>
    <row r="2" spans="1:16" ht="11.25" customHeight="1" x14ac:dyDescent="0.25">
      <c r="B2" s="47"/>
      <c r="C2" s="47"/>
      <c r="D2" s="47"/>
      <c r="E2" s="47" t="s">
        <v>184</v>
      </c>
      <c r="F2" s="47"/>
      <c r="G2" s="47"/>
      <c r="H2" s="66" t="s">
        <v>185</v>
      </c>
      <c r="I2" s="196"/>
      <c r="J2" s="196"/>
      <c r="K2" s="154" t="s">
        <v>368</v>
      </c>
      <c r="L2" s="154" t="s">
        <v>364</v>
      </c>
      <c r="M2" s="154" t="s">
        <v>190</v>
      </c>
      <c r="N2" s="154" t="s">
        <v>415</v>
      </c>
      <c r="O2" s="154" t="s">
        <v>364</v>
      </c>
      <c r="P2" s="47"/>
    </row>
    <row r="3" spans="1:16" ht="11.25" customHeight="1" x14ac:dyDescent="0.25">
      <c r="A3" s="65" t="s">
        <v>342</v>
      </c>
      <c r="B3" s="47" t="s">
        <v>186</v>
      </c>
      <c r="C3" s="47" t="s">
        <v>187</v>
      </c>
      <c r="D3" s="47" t="s">
        <v>188</v>
      </c>
      <c r="E3" s="47" t="s">
        <v>189</v>
      </c>
      <c r="F3" s="47" t="s">
        <v>418</v>
      </c>
      <c r="G3" s="47" t="s">
        <v>191</v>
      </c>
      <c r="H3" s="47" t="s">
        <v>192</v>
      </c>
      <c r="I3" s="47" t="s">
        <v>374</v>
      </c>
      <c r="J3" s="47" t="s">
        <v>362</v>
      </c>
      <c r="K3" s="47" t="s">
        <v>365</v>
      </c>
      <c r="L3" s="47" t="s">
        <v>365</v>
      </c>
      <c r="M3" s="47" t="s">
        <v>366</v>
      </c>
      <c r="N3" s="47" t="s">
        <v>416</v>
      </c>
      <c r="O3" s="47" t="s">
        <v>366</v>
      </c>
      <c r="P3" s="47" t="s">
        <v>358</v>
      </c>
    </row>
    <row r="4" spans="1:16" ht="11.25" customHeight="1" x14ac:dyDescent="0.25">
      <c r="A4" s="67"/>
      <c r="B4" s="51"/>
      <c r="C4" s="51"/>
      <c r="D4" s="51"/>
      <c r="E4" s="51" t="s">
        <v>193</v>
      </c>
      <c r="F4" s="51"/>
      <c r="G4" s="51" t="s">
        <v>194</v>
      </c>
      <c r="H4" s="51" t="s">
        <v>195</v>
      </c>
      <c r="I4" s="51"/>
      <c r="J4" s="51"/>
      <c r="K4" s="51" t="s">
        <v>363</v>
      </c>
      <c r="L4" s="51" t="s">
        <v>363</v>
      </c>
      <c r="M4" s="51" t="s">
        <v>367</v>
      </c>
      <c r="N4" s="51"/>
      <c r="O4" s="51" t="s">
        <v>419</v>
      </c>
      <c r="P4" s="51" t="s">
        <v>414</v>
      </c>
    </row>
    <row r="5" spans="1:16" ht="11.25" customHeight="1" x14ac:dyDescent="0.25">
      <c r="B5" s="68" t="s">
        <v>401</v>
      </c>
      <c r="C5" s="34"/>
      <c r="D5" s="47" t="s">
        <v>196</v>
      </c>
      <c r="E5" s="47" t="s">
        <v>197</v>
      </c>
      <c r="F5" s="47" t="s">
        <v>360</v>
      </c>
      <c r="G5" s="47" t="s">
        <v>198</v>
      </c>
      <c r="H5" s="47" t="s">
        <v>361</v>
      </c>
      <c r="I5" s="47" t="s">
        <v>198</v>
      </c>
      <c r="J5" s="47" t="s">
        <v>196</v>
      </c>
      <c r="K5" s="47" t="s">
        <v>198</v>
      </c>
      <c r="L5" s="47" t="s">
        <v>360</v>
      </c>
      <c r="M5" s="47" t="s">
        <v>360</v>
      </c>
      <c r="N5" s="47" t="s">
        <v>360</v>
      </c>
      <c r="O5" s="47" t="s">
        <v>360</v>
      </c>
      <c r="P5" s="47" t="s">
        <v>360</v>
      </c>
    </row>
    <row r="6" spans="1:16" ht="11.25" customHeight="1" x14ac:dyDescent="0.25"/>
    <row r="7" spans="1:16" ht="11.25" customHeight="1" x14ac:dyDescent="0.25">
      <c r="A7" s="69" t="s">
        <v>199</v>
      </c>
      <c r="B7" s="70">
        <v>1231</v>
      </c>
      <c r="C7" s="70">
        <v>1190</v>
      </c>
      <c r="D7" s="70">
        <v>23502</v>
      </c>
      <c r="E7" s="71">
        <f t="shared" ref="E7:E27" si="0">(D7)/(C7)</f>
        <v>19.749579831932774</v>
      </c>
      <c r="F7" s="70">
        <f>L7</f>
        <v>3149</v>
      </c>
      <c r="G7" s="71">
        <f t="shared" ref="G7:G34" si="1">F7/D7*100</f>
        <v>13.398859671517318</v>
      </c>
      <c r="H7" s="72">
        <f t="shared" ref="H7:H51" si="2">F7/C7</f>
        <v>2.6462184873949579</v>
      </c>
      <c r="I7" s="155" t="s">
        <v>152</v>
      </c>
      <c r="J7" s="155" t="s">
        <v>152</v>
      </c>
      <c r="K7" s="160" t="s">
        <v>152</v>
      </c>
      <c r="L7" s="70">
        <v>3149</v>
      </c>
      <c r="M7" s="50" t="s">
        <v>152</v>
      </c>
      <c r="N7" s="50" t="s">
        <v>152</v>
      </c>
      <c r="O7" s="50" t="s">
        <v>152</v>
      </c>
      <c r="P7" s="70">
        <f>Table16!B18</f>
        <v>3234</v>
      </c>
    </row>
    <row r="8" spans="1:16" ht="11.25" customHeight="1" x14ac:dyDescent="0.25">
      <c r="A8" s="69" t="s">
        <v>200</v>
      </c>
      <c r="B8" s="70">
        <v>1254</v>
      </c>
      <c r="C8" s="70">
        <v>1228</v>
      </c>
      <c r="D8" s="70">
        <v>27538</v>
      </c>
      <c r="E8" s="71">
        <f t="shared" si="0"/>
        <v>22.425081433224754</v>
      </c>
      <c r="F8" s="70">
        <f t="shared" ref="F8:F14" si="3">L8</f>
        <v>3388</v>
      </c>
      <c r="G8" s="71">
        <f t="shared" si="1"/>
        <v>12.30299949161159</v>
      </c>
      <c r="H8" s="72">
        <f t="shared" si="2"/>
        <v>2.7589576547231269</v>
      </c>
      <c r="I8" s="155" t="s">
        <v>152</v>
      </c>
      <c r="J8" s="155" t="s">
        <v>152</v>
      </c>
      <c r="K8" s="160" t="s">
        <v>152</v>
      </c>
      <c r="L8" s="70">
        <v>3388</v>
      </c>
      <c r="M8" s="50" t="s">
        <v>152</v>
      </c>
      <c r="N8" s="50" t="s">
        <v>152</v>
      </c>
      <c r="O8" s="50" t="s">
        <v>152</v>
      </c>
      <c r="P8" s="70">
        <f>Table16!B19</f>
        <v>3318</v>
      </c>
    </row>
    <row r="9" spans="1:16" ht="11.25" customHeight="1" x14ac:dyDescent="0.25">
      <c r="A9" s="69" t="s">
        <v>201</v>
      </c>
      <c r="B9" s="70">
        <v>1054</v>
      </c>
      <c r="C9" s="70">
        <v>1027</v>
      </c>
      <c r="D9" s="70">
        <v>20894</v>
      </c>
      <c r="E9" s="71">
        <f t="shared" si="0"/>
        <v>20.344693281402144</v>
      </c>
      <c r="F9" s="70">
        <f t="shared" si="3"/>
        <v>2737</v>
      </c>
      <c r="G9" s="71">
        <f t="shared" si="1"/>
        <v>13.099454388819757</v>
      </c>
      <c r="H9" s="72">
        <f t="shared" si="2"/>
        <v>2.6650438169425512</v>
      </c>
      <c r="I9" s="155" t="s">
        <v>152</v>
      </c>
      <c r="J9" s="155" t="s">
        <v>152</v>
      </c>
      <c r="K9" s="160" t="s">
        <v>152</v>
      </c>
      <c r="L9" s="70">
        <v>2737</v>
      </c>
      <c r="M9" s="50" t="s">
        <v>152</v>
      </c>
      <c r="N9" s="50" t="s">
        <v>152</v>
      </c>
      <c r="O9" s="50" t="s">
        <v>152</v>
      </c>
      <c r="P9" s="70">
        <f>Table16!B20</f>
        <v>2692</v>
      </c>
    </row>
    <row r="10" spans="1:16" ht="11.25" customHeight="1" x14ac:dyDescent="0.25">
      <c r="A10" s="69" t="s">
        <v>202</v>
      </c>
      <c r="B10" s="70">
        <v>1081</v>
      </c>
      <c r="C10" s="70">
        <v>1056</v>
      </c>
      <c r="D10" s="70">
        <v>20992</v>
      </c>
      <c r="E10" s="71">
        <f t="shared" si="0"/>
        <v>19.878787878787879</v>
      </c>
      <c r="F10" s="70">
        <f t="shared" si="3"/>
        <v>2699</v>
      </c>
      <c r="G10" s="71">
        <f t="shared" si="1"/>
        <v>12.857278963414634</v>
      </c>
      <c r="H10" s="72">
        <f t="shared" si="2"/>
        <v>2.5558712121212119</v>
      </c>
      <c r="I10" s="155" t="s">
        <v>152</v>
      </c>
      <c r="J10" s="155" t="s">
        <v>152</v>
      </c>
      <c r="K10" s="160" t="s">
        <v>152</v>
      </c>
      <c r="L10" s="70">
        <v>2699</v>
      </c>
      <c r="M10" s="50" t="s">
        <v>152</v>
      </c>
      <c r="N10" s="50" t="s">
        <v>152</v>
      </c>
      <c r="O10" s="50" t="s">
        <v>152</v>
      </c>
      <c r="P10" s="70">
        <f>Table16!B21</f>
        <v>2837</v>
      </c>
    </row>
    <row r="11" spans="1:16" ht="11.25" customHeight="1" x14ac:dyDescent="0.25">
      <c r="A11" s="69" t="s">
        <v>203</v>
      </c>
      <c r="B11" s="70">
        <v>1124</v>
      </c>
      <c r="C11" s="70">
        <v>1096</v>
      </c>
      <c r="D11" s="70">
        <v>22134</v>
      </c>
      <c r="E11" s="71">
        <f t="shared" si="0"/>
        <v>20.195255474452555</v>
      </c>
      <c r="F11" s="70">
        <f t="shared" si="3"/>
        <v>2905</v>
      </c>
      <c r="G11" s="71">
        <f t="shared" si="1"/>
        <v>13.124604680581911</v>
      </c>
      <c r="H11" s="72">
        <f t="shared" si="2"/>
        <v>2.6505474452554743</v>
      </c>
      <c r="I11" s="155" t="s">
        <v>152</v>
      </c>
      <c r="J11" s="155" t="s">
        <v>152</v>
      </c>
      <c r="K11" s="160" t="s">
        <v>152</v>
      </c>
      <c r="L11" s="70">
        <v>2905</v>
      </c>
      <c r="M11" s="50" t="s">
        <v>152</v>
      </c>
      <c r="N11" s="50" t="s">
        <v>152</v>
      </c>
      <c r="O11" s="50" t="s">
        <v>152</v>
      </c>
      <c r="P11" s="70">
        <f>Table16!B22</f>
        <v>2915</v>
      </c>
    </row>
    <row r="12" spans="1:16" ht="11.25" customHeight="1" x14ac:dyDescent="0.25">
      <c r="A12" s="69" t="s">
        <v>204</v>
      </c>
      <c r="B12" s="70">
        <v>1125</v>
      </c>
      <c r="C12" s="70">
        <v>1102</v>
      </c>
      <c r="D12" s="70">
        <v>22529</v>
      </c>
      <c r="E12" s="71">
        <f t="shared" si="0"/>
        <v>20.443738656987296</v>
      </c>
      <c r="F12" s="70">
        <f t="shared" si="3"/>
        <v>3000</v>
      </c>
      <c r="G12" s="71">
        <f t="shared" si="1"/>
        <v>13.316170269430511</v>
      </c>
      <c r="H12" s="72">
        <f t="shared" si="2"/>
        <v>2.7223230490018149</v>
      </c>
      <c r="I12" s="155" t="s">
        <v>152</v>
      </c>
      <c r="J12" s="155" t="s">
        <v>152</v>
      </c>
      <c r="K12" s="160" t="s">
        <v>152</v>
      </c>
      <c r="L12" s="70">
        <v>3000</v>
      </c>
      <c r="M12" s="50" t="s">
        <v>152</v>
      </c>
      <c r="N12" s="50" t="s">
        <v>152</v>
      </c>
      <c r="O12" s="50" t="s">
        <v>152</v>
      </c>
      <c r="P12" s="70">
        <f>Table16!B23</f>
        <v>2988</v>
      </c>
    </row>
    <row r="13" spans="1:16" ht="11.25" customHeight="1" x14ac:dyDescent="0.25">
      <c r="A13" s="69" t="s">
        <v>205</v>
      </c>
      <c r="B13" s="70">
        <v>1232</v>
      </c>
      <c r="C13" s="70">
        <v>1191</v>
      </c>
      <c r="D13" s="70">
        <v>25162</v>
      </c>
      <c r="E13" s="71">
        <f t="shared" si="0"/>
        <v>21.126784214945424</v>
      </c>
      <c r="F13" s="70">
        <f t="shared" si="3"/>
        <v>3416</v>
      </c>
      <c r="G13" s="71">
        <f t="shared" si="1"/>
        <v>13.576027342818536</v>
      </c>
      <c r="H13" s="72">
        <f t="shared" si="2"/>
        <v>2.8681780016792611</v>
      </c>
      <c r="I13" s="155" t="s">
        <v>152</v>
      </c>
      <c r="J13" s="155" t="s">
        <v>152</v>
      </c>
      <c r="K13" s="160" t="s">
        <v>152</v>
      </c>
      <c r="L13" s="70">
        <v>3416</v>
      </c>
      <c r="M13" s="50" t="s">
        <v>152</v>
      </c>
      <c r="N13" s="50" t="s">
        <v>152</v>
      </c>
      <c r="O13" s="50" t="s">
        <v>152</v>
      </c>
      <c r="P13" s="70">
        <f>Table16!B24</f>
        <v>3653</v>
      </c>
    </row>
    <row r="14" spans="1:16" ht="11.25" customHeight="1" x14ac:dyDescent="0.25">
      <c r="A14" s="69" t="s">
        <v>206</v>
      </c>
      <c r="B14" s="70">
        <v>1267</v>
      </c>
      <c r="C14" s="70">
        <v>1252</v>
      </c>
      <c r="D14" s="70">
        <v>28072</v>
      </c>
      <c r="E14" s="71">
        <f t="shared" si="0"/>
        <v>22.421725239616613</v>
      </c>
      <c r="F14" s="70">
        <f t="shared" si="3"/>
        <v>3998</v>
      </c>
      <c r="G14" s="71">
        <f t="shared" si="1"/>
        <v>14.241949273297235</v>
      </c>
      <c r="H14" s="72">
        <f t="shared" si="2"/>
        <v>3.1932907348242812</v>
      </c>
      <c r="I14" s="155" t="s">
        <v>152</v>
      </c>
      <c r="J14" s="155" t="s">
        <v>152</v>
      </c>
      <c r="K14" s="160" t="s">
        <v>152</v>
      </c>
      <c r="L14" s="70">
        <v>3998</v>
      </c>
      <c r="M14" s="50" t="s">
        <v>152</v>
      </c>
      <c r="N14" s="50" t="s">
        <v>152</v>
      </c>
      <c r="O14" s="50" t="s">
        <v>152</v>
      </c>
      <c r="P14" s="70">
        <f>Table16!B25</f>
        <v>3822</v>
      </c>
    </row>
    <row r="15" spans="1:16" ht="11.25" customHeight="1" x14ac:dyDescent="0.25">
      <c r="A15" s="69" t="s">
        <v>207</v>
      </c>
      <c r="B15" s="70">
        <v>1327</v>
      </c>
      <c r="C15" s="70">
        <v>1301</v>
      </c>
      <c r="D15" s="70">
        <v>24810</v>
      </c>
      <c r="E15" s="71">
        <f t="shared" si="0"/>
        <v>19.069946195234436</v>
      </c>
      <c r="F15" s="70">
        <f>L15+M15</f>
        <v>3507</v>
      </c>
      <c r="G15" s="71">
        <f t="shared" si="1"/>
        <v>14.135429262394194</v>
      </c>
      <c r="H15" s="72">
        <f t="shared" si="2"/>
        <v>2.6956187548039967</v>
      </c>
      <c r="I15" s="155" t="s">
        <v>152</v>
      </c>
      <c r="J15" s="155" t="s">
        <v>152</v>
      </c>
      <c r="K15" s="160" t="s">
        <v>152</v>
      </c>
      <c r="L15" s="70">
        <v>3474</v>
      </c>
      <c r="M15" s="50">
        <v>33</v>
      </c>
      <c r="N15" s="50" t="s">
        <v>152</v>
      </c>
      <c r="O15" s="50" t="s">
        <v>152</v>
      </c>
      <c r="P15" s="70">
        <f>Table16!B26</f>
        <v>3396</v>
      </c>
    </row>
    <row r="16" spans="1:16" ht="11.25" customHeight="1" x14ac:dyDescent="0.25">
      <c r="A16" s="69" t="s">
        <v>208</v>
      </c>
      <c r="B16" s="70">
        <v>1324</v>
      </c>
      <c r="C16" s="70">
        <v>1295</v>
      </c>
      <c r="D16" s="70">
        <v>25131</v>
      </c>
      <c r="E16" s="71">
        <f t="shared" si="0"/>
        <v>19.406177606177607</v>
      </c>
      <c r="F16" s="70">
        <f>L16+M16</f>
        <v>3442</v>
      </c>
      <c r="G16" s="71">
        <f t="shared" si="1"/>
        <v>13.69623174565278</v>
      </c>
      <c r="H16" s="72">
        <f t="shared" si="2"/>
        <v>2.6579150579150581</v>
      </c>
      <c r="I16" s="155" t="s">
        <v>152</v>
      </c>
      <c r="J16" s="155" t="s">
        <v>152</v>
      </c>
      <c r="K16" s="160" t="s">
        <v>152</v>
      </c>
      <c r="L16" s="70">
        <v>3380</v>
      </c>
      <c r="M16" s="50">
        <v>62</v>
      </c>
      <c r="N16" s="50" t="s">
        <v>152</v>
      </c>
      <c r="O16" s="50" t="s">
        <v>152</v>
      </c>
      <c r="P16" s="70">
        <f>Table16!B27</f>
        <v>3466</v>
      </c>
    </row>
    <row r="17" spans="1:16" s="220" customFormat="1" ht="11.25" customHeight="1" x14ac:dyDescent="0.25">
      <c r="A17" s="65" t="s">
        <v>209</v>
      </c>
      <c r="B17" s="70">
        <v>1400.4</v>
      </c>
      <c r="C17" s="70">
        <v>1377.2</v>
      </c>
      <c r="D17" s="70">
        <v>27513</v>
      </c>
      <c r="E17" s="71">
        <f t="shared" si="0"/>
        <v>19.977490560557651</v>
      </c>
      <c r="F17" s="70">
        <f>L17+M17</f>
        <v>3842</v>
      </c>
      <c r="G17" s="71">
        <f t="shared" si="1"/>
        <v>13.964307781775886</v>
      </c>
      <c r="H17" s="72">
        <f t="shared" si="2"/>
        <v>2.7897182689514959</v>
      </c>
      <c r="I17" s="155" t="s">
        <v>152</v>
      </c>
      <c r="J17" s="155" t="s">
        <v>152</v>
      </c>
      <c r="K17" s="160" t="s">
        <v>152</v>
      </c>
      <c r="L17" s="70">
        <v>3767</v>
      </c>
      <c r="M17" s="50">
        <v>75</v>
      </c>
      <c r="N17" s="50" t="s">
        <v>152</v>
      </c>
      <c r="O17" s="50" t="s">
        <v>152</v>
      </c>
      <c r="P17" s="70">
        <f>Table16!B28</f>
        <v>3854</v>
      </c>
    </row>
    <row r="18" spans="1:16" ht="11.25" customHeight="1" x14ac:dyDescent="0.25">
      <c r="A18" s="65" t="s">
        <v>210</v>
      </c>
      <c r="B18" s="70">
        <v>1427.4</v>
      </c>
      <c r="C18" s="70">
        <v>1386.7</v>
      </c>
      <c r="D18" s="70">
        <v>28203</v>
      </c>
      <c r="E18" s="71">
        <f t="shared" si="0"/>
        <v>20.338213023725391</v>
      </c>
      <c r="F18" s="70">
        <f>L18+M18</f>
        <v>3729</v>
      </c>
      <c r="G18" s="71">
        <f t="shared" si="1"/>
        <v>13.221997659823423</v>
      </c>
      <c r="H18" s="72">
        <f t="shared" si="2"/>
        <v>2.6891180500468739</v>
      </c>
      <c r="I18" s="155" t="s">
        <v>152</v>
      </c>
      <c r="J18" s="155" t="s">
        <v>152</v>
      </c>
      <c r="K18" s="160" t="s">
        <v>152</v>
      </c>
      <c r="L18" s="70">
        <v>3608</v>
      </c>
      <c r="M18" s="50">
        <v>121</v>
      </c>
      <c r="N18" s="50">
        <f>Table18!I185+Table18!J185</f>
        <v>394.44100000000003</v>
      </c>
      <c r="O18" s="50" t="s">
        <v>152</v>
      </c>
      <c r="P18" s="70">
        <f>Table16!B29</f>
        <v>3845</v>
      </c>
    </row>
    <row r="19" spans="1:16" ht="11.25" customHeight="1" x14ac:dyDescent="0.25">
      <c r="A19" s="65" t="s">
        <v>211</v>
      </c>
      <c r="B19" s="70">
        <v>1436.7</v>
      </c>
      <c r="C19" s="70">
        <v>1411.5</v>
      </c>
      <c r="D19" s="70">
        <v>29168</v>
      </c>
      <c r="E19" s="71">
        <f t="shared" si="0"/>
        <v>20.664541268154444</v>
      </c>
      <c r="F19" s="70">
        <f>SUM(Table18!I185:M185)+SUM(Table18!B186:H186)</f>
        <v>4433.0219999999999</v>
      </c>
      <c r="G19" s="71">
        <f t="shared" si="1"/>
        <v>15.198237794843664</v>
      </c>
      <c r="H19" s="72">
        <f t="shared" si="2"/>
        <v>3.1406461211477152</v>
      </c>
      <c r="I19" s="155" t="s">
        <v>152</v>
      </c>
      <c r="J19" s="155" t="s">
        <v>152</v>
      </c>
      <c r="K19" s="160" t="s">
        <v>152</v>
      </c>
      <c r="L19" s="70">
        <v>4183.0219999999999</v>
      </c>
      <c r="M19" s="50">
        <v>250</v>
      </c>
      <c r="N19" s="50">
        <f>Table18!I186+Table18!J186</f>
        <v>353.31799999999998</v>
      </c>
      <c r="O19" s="50" t="s">
        <v>152</v>
      </c>
      <c r="P19" s="70">
        <f>Table16!B30</f>
        <v>4391.8990000000003</v>
      </c>
    </row>
    <row r="20" spans="1:16" ht="11.25" customHeight="1" x14ac:dyDescent="0.25">
      <c r="A20" s="65" t="s">
        <v>212</v>
      </c>
      <c r="B20" s="70">
        <v>1437.7</v>
      </c>
      <c r="C20" s="70">
        <v>1409.4</v>
      </c>
      <c r="D20" s="70">
        <v>26249</v>
      </c>
      <c r="E20" s="71">
        <f t="shared" si="0"/>
        <v>18.624237264084005</v>
      </c>
      <c r="F20" s="70">
        <f>SUM(Table18!I186:M186)+SUM(Table18!B187:H187)</f>
        <v>3954.2130000000006</v>
      </c>
      <c r="G20" s="71">
        <f t="shared" si="1"/>
        <v>15.064242447331329</v>
      </c>
      <c r="H20" s="72">
        <f t="shared" si="2"/>
        <v>2.8056002554278421</v>
      </c>
      <c r="I20" s="155" t="s">
        <v>152</v>
      </c>
      <c r="J20" s="155" t="s">
        <v>152</v>
      </c>
      <c r="K20" s="160" t="s">
        <v>152</v>
      </c>
      <c r="L20" s="70">
        <v>3732.2129999999997</v>
      </c>
      <c r="M20" s="50">
        <v>222</v>
      </c>
      <c r="N20" s="50">
        <f>Table18!I187+Table18!J187</f>
        <v>489.21000000000004</v>
      </c>
      <c r="O20" s="50" t="s">
        <v>152</v>
      </c>
      <c r="P20" s="70">
        <f>Table16!B31</f>
        <v>4090.105</v>
      </c>
    </row>
    <row r="21" spans="1:16" ht="11.25" customHeight="1" x14ac:dyDescent="0.25">
      <c r="A21" s="65" t="s">
        <v>213</v>
      </c>
      <c r="B21" s="70">
        <v>1475.8</v>
      </c>
      <c r="C21" s="70">
        <v>1443</v>
      </c>
      <c r="D21" s="70">
        <v>31853</v>
      </c>
      <c r="E21" s="71">
        <f t="shared" si="0"/>
        <v>22.074151074151075</v>
      </c>
      <c r="F21" s="70">
        <f>SUM(Table18!I187:M187)+SUM(Table18!B188:H188)</f>
        <v>4601.0749999999998</v>
      </c>
      <c r="G21" s="71">
        <f t="shared" si="1"/>
        <v>14.444714783536872</v>
      </c>
      <c r="H21" s="72">
        <f t="shared" si="2"/>
        <v>3.1885481635481634</v>
      </c>
      <c r="I21" s="162">
        <f t="shared" ref="I21:I51" si="4">100*(1-(J21/D21))</f>
        <v>5.9728691175085613</v>
      </c>
      <c r="J21" s="49">
        <v>29950.462</v>
      </c>
      <c r="K21" s="160">
        <f t="shared" ref="K21:K50" si="5">L21/J21*100</f>
        <v>14.533485326536869</v>
      </c>
      <c r="L21" s="70">
        <v>4352.8460000000005</v>
      </c>
      <c r="M21" s="50">
        <v>248.22899999999998</v>
      </c>
      <c r="N21" s="50">
        <f>Table18!I188+Table18!J188</f>
        <v>381.65200000000004</v>
      </c>
      <c r="O21" s="50" t="s">
        <v>152</v>
      </c>
      <c r="P21" s="70">
        <f>Table16!B32</f>
        <v>4494</v>
      </c>
    </row>
    <row r="22" spans="1:16" ht="11.25" customHeight="1" x14ac:dyDescent="0.25">
      <c r="A22" s="65" t="s">
        <v>214</v>
      </c>
      <c r="B22" s="70">
        <v>1444.6</v>
      </c>
      <c r="C22" s="70">
        <v>1420.1</v>
      </c>
      <c r="D22" s="70">
        <v>28065</v>
      </c>
      <c r="E22" s="71">
        <f t="shared" si="0"/>
        <v>19.762692768114924</v>
      </c>
      <c r="F22" s="70">
        <f>SUM(Table18!I188:M188)+SUM(Table18!B189:H189)</f>
        <v>3966.5130000000004</v>
      </c>
      <c r="G22" s="71">
        <f t="shared" si="1"/>
        <v>14.133308391234637</v>
      </c>
      <c r="H22" s="72">
        <f t="shared" si="2"/>
        <v>2.793122315329907</v>
      </c>
      <c r="I22" s="162">
        <f t="shared" si="4"/>
        <v>4.6215784785319736</v>
      </c>
      <c r="J22" s="49">
        <v>26767.954000000002</v>
      </c>
      <c r="K22" s="160">
        <f t="shared" si="5"/>
        <v>13.856049662966393</v>
      </c>
      <c r="L22" s="70">
        <v>3708.9809999999993</v>
      </c>
      <c r="M22" s="50">
        <v>257.53199999999998</v>
      </c>
      <c r="N22" s="50">
        <f>Table18!I189+Table18!J189</f>
        <v>331.11599999999999</v>
      </c>
      <c r="O22" s="50" t="s">
        <v>152</v>
      </c>
      <c r="P22" s="70">
        <f>Table16!B33</f>
        <v>3915.9769999999999</v>
      </c>
    </row>
    <row r="23" spans="1:16" ht="11.25" customHeight="1" x14ac:dyDescent="0.25">
      <c r="A23" s="65" t="s">
        <v>215</v>
      </c>
      <c r="B23" s="70">
        <v>1368.4</v>
      </c>
      <c r="C23" s="70">
        <v>1323.3</v>
      </c>
      <c r="D23" s="70">
        <v>26680</v>
      </c>
      <c r="E23" s="71">
        <f t="shared" si="0"/>
        <v>20.161716919821657</v>
      </c>
      <c r="F23" s="70">
        <f>SUM(Table18!I189:M189)+SUM(Table18!B190:H190)</f>
        <v>4040.0530000000003</v>
      </c>
      <c r="G23" s="71">
        <f t="shared" si="1"/>
        <v>15.142627436281861</v>
      </c>
      <c r="H23" s="72">
        <f t="shared" si="2"/>
        <v>3.0530136779263963</v>
      </c>
      <c r="I23" s="162">
        <f t="shared" si="4"/>
        <v>2.082473763118442</v>
      </c>
      <c r="J23" s="49">
        <v>26124.396000000001</v>
      </c>
      <c r="K23" s="160">
        <f t="shared" si="5"/>
        <v>14.451315927074448</v>
      </c>
      <c r="L23" s="70">
        <v>3775.319</v>
      </c>
      <c r="M23" s="50">
        <v>264.73399999999998</v>
      </c>
      <c r="N23" s="50">
        <f>Table18!I190+Table18!J190</f>
        <v>304.45299999999997</v>
      </c>
      <c r="O23" s="50" t="s">
        <v>152</v>
      </c>
      <c r="P23" s="70">
        <f>Table16!B34</f>
        <v>4013.39</v>
      </c>
    </row>
    <row r="24" spans="1:16" ht="11.25" customHeight="1" x14ac:dyDescent="0.25">
      <c r="A24" s="65" t="s">
        <v>216</v>
      </c>
      <c r="B24" s="70">
        <v>1459.3</v>
      </c>
      <c r="C24" s="70">
        <v>1428.3</v>
      </c>
      <c r="D24" s="70">
        <v>29886</v>
      </c>
      <c r="E24" s="71">
        <f t="shared" si="0"/>
        <v>20.92417559336274</v>
      </c>
      <c r="F24" s="70">
        <f>SUM(Table18!I190:M190)+SUM(Table18!B191:H191)</f>
        <v>4222.2440000000006</v>
      </c>
      <c r="G24" s="71">
        <f t="shared" si="1"/>
        <v>14.127832429900289</v>
      </c>
      <c r="H24" s="72">
        <f t="shared" si="2"/>
        <v>2.9561324651683827</v>
      </c>
      <c r="I24" s="162">
        <f t="shared" si="4"/>
        <v>4.1318911865087298</v>
      </c>
      <c r="J24" s="49">
        <v>28651.143</v>
      </c>
      <c r="K24" s="160">
        <f t="shared" si="5"/>
        <v>13.838680013568744</v>
      </c>
      <c r="L24" s="70">
        <v>3964.9400000000005</v>
      </c>
      <c r="M24" s="50">
        <v>257.30400000000003</v>
      </c>
      <c r="N24" s="50">
        <f>Table18!I191+Table18!J191</f>
        <v>471.45</v>
      </c>
      <c r="O24" s="50" t="s">
        <v>152</v>
      </c>
      <c r="P24" s="70">
        <f>Table16!B35</f>
        <v>4389.241</v>
      </c>
    </row>
    <row r="25" spans="1:16" ht="11.25" customHeight="1" x14ac:dyDescent="0.25">
      <c r="A25" s="73" t="s">
        <v>217</v>
      </c>
      <c r="B25" s="70">
        <v>1497.8</v>
      </c>
      <c r="C25" s="70">
        <v>1450.7</v>
      </c>
      <c r="D25" s="70">
        <v>32499</v>
      </c>
      <c r="E25" s="71">
        <f t="shared" si="0"/>
        <v>22.402288550354999</v>
      </c>
      <c r="F25" s="70">
        <f>SUM(Table18!I191:M191)+SUM(Table18!B192:H192)</f>
        <v>4422.6929999999993</v>
      </c>
      <c r="G25" s="71">
        <f t="shared" si="1"/>
        <v>13.608704883227174</v>
      </c>
      <c r="H25" s="72">
        <f t="shared" si="2"/>
        <v>3.0486613359068029</v>
      </c>
      <c r="I25" s="162">
        <f t="shared" si="4"/>
        <v>3.0895996799901515</v>
      </c>
      <c r="J25" s="49">
        <v>31494.911</v>
      </c>
      <c r="K25" s="160">
        <f t="shared" si="5"/>
        <v>13.26123131448125</v>
      </c>
      <c r="L25" s="70">
        <v>4176.6130000000003</v>
      </c>
      <c r="M25" s="50">
        <v>246.08</v>
      </c>
      <c r="N25" s="50">
        <f>Table18!I192+Table18!J192</f>
        <v>470.60599999999999</v>
      </c>
      <c r="O25" s="50" t="s">
        <v>152</v>
      </c>
      <c r="P25" s="70">
        <f>Table16!B36</f>
        <v>4421.8490000000002</v>
      </c>
    </row>
    <row r="26" spans="1:16" ht="11.25" customHeight="1" x14ac:dyDescent="0.25">
      <c r="A26" s="73" t="s">
        <v>218</v>
      </c>
      <c r="B26" s="70">
        <v>1560.6</v>
      </c>
      <c r="C26" s="70">
        <v>1527.3</v>
      </c>
      <c r="D26" s="70">
        <v>33420</v>
      </c>
      <c r="E26" s="71">
        <f t="shared" si="0"/>
        <v>21.881752111569437</v>
      </c>
      <c r="F26" s="70">
        <f>SUM(Table18!I192:M192)+SUM(Table18!B193:H193)</f>
        <v>4938.7700000000004</v>
      </c>
      <c r="G26" s="71">
        <f t="shared" si="1"/>
        <v>14.777887492519451</v>
      </c>
      <c r="H26" s="72">
        <f t="shared" si="2"/>
        <v>3.2336607084397304</v>
      </c>
      <c r="I26" s="162">
        <f t="shared" si="4"/>
        <v>4.9783393177737834</v>
      </c>
      <c r="J26" s="49">
        <v>31756.239000000001</v>
      </c>
      <c r="K26" s="160">
        <f t="shared" si="5"/>
        <v>14.596725859129602</v>
      </c>
      <c r="L26" s="70">
        <v>4635.3711499999999</v>
      </c>
      <c r="M26" s="50">
        <v>303.399</v>
      </c>
      <c r="N26" s="50">
        <f>Table18!I193+Table18!J193</f>
        <v>509.73899999999998</v>
      </c>
      <c r="O26" s="50" t="s">
        <v>152</v>
      </c>
      <c r="P26" s="70">
        <f>Table16!B37</f>
        <v>4977.9030000000002</v>
      </c>
    </row>
    <row r="27" spans="1:16" s="220" customFormat="1" ht="11.25" customHeight="1" x14ac:dyDescent="0.25">
      <c r="A27" s="73" t="s">
        <v>219</v>
      </c>
      <c r="B27" s="70">
        <v>1564.2</v>
      </c>
      <c r="C27" s="70">
        <v>1373</v>
      </c>
      <c r="D27" s="70">
        <v>32541</v>
      </c>
      <c r="E27" s="71">
        <f t="shared" si="0"/>
        <v>23.700655498907501</v>
      </c>
      <c r="F27" s="70">
        <f>SUM(Table18!I193:M193)+SUM(Table18!B194:H194)</f>
        <v>4779.8829999999998</v>
      </c>
      <c r="G27" s="71">
        <f t="shared" si="1"/>
        <v>14.688801819243416</v>
      </c>
      <c r="H27" s="72">
        <f t="shared" si="2"/>
        <v>3.4813423160961396</v>
      </c>
      <c r="I27" s="162">
        <f t="shared" si="4"/>
        <v>4.2065025659936639</v>
      </c>
      <c r="J27" s="49">
        <v>31172.162</v>
      </c>
      <c r="K27" s="160">
        <f t="shared" si="5"/>
        <v>13.903671166600509</v>
      </c>
      <c r="L27" s="70">
        <v>4334.0749000000005</v>
      </c>
      <c r="M27" s="50">
        <v>360.99499999999989</v>
      </c>
      <c r="N27" s="50">
        <f>Table18!I194+Table18!J194</f>
        <v>409.47200000000004</v>
      </c>
      <c r="O27" s="50" t="s">
        <v>152</v>
      </c>
      <c r="P27" s="70">
        <f>Table16!B38</f>
        <v>4679.616</v>
      </c>
    </row>
    <row r="28" spans="1:16" ht="11.25" customHeight="1" x14ac:dyDescent="0.25">
      <c r="A28" s="73" t="s">
        <v>220</v>
      </c>
      <c r="B28" s="70">
        <v>1370.5</v>
      </c>
      <c r="C28" s="70">
        <v>1243.4000000000001</v>
      </c>
      <c r="D28" s="70">
        <v>25764</v>
      </c>
      <c r="E28" s="71">
        <f>(D28)/(C28)</f>
        <v>20.720604793308667</v>
      </c>
      <c r="F28" s="70">
        <f>SUM(Table18!I194:M194)+SUM(Table18!B195:H195)</f>
        <v>4055.6540000000005</v>
      </c>
      <c r="G28" s="71">
        <f t="shared" si="1"/>
        <v>15.741554106505204</v>
      </c>
      <c r="H28" s="72">
        <f t="shared" si="2"/>
        <v>3.2617452147337946</v>
      </c>
      <c r="I28" s="162">
        <f t="shared" si="4"/>
        <v>2.8592105263157919</v>
      </c>
      <c r="J28" s="49">
        <v>25027.352999999999</v>
      </c>
      <c r="K28" s="160">
        <f t="shared" si="5"/>
        <v>15.009520063907674</v>
      </c>
      <c r="L28" s="70">
        <v>3756.4855699999994</v>
      </c>
      <c r="M28" s="50">
        <v>299.16800000000001</v>
      </c>
      <c r="N28" s="50">
        <f>Table18!I195+Table18!J195</f>
        <v>269.27300000000002</v>
      </c>
      <c r="O28" s="50" t="s">
        <v>152</v>
      </c>
      <c r="P28" s="70">
        <f>Table16!B39</f>
        <v>3915.4549999999999</v>
      </c>
    </row>
    <row r="29" spans="1:16" ht="11.25" customHeight="1" x14ac:dyDescent="0.25">
      <c r="A29" s="73" t="s">
        <v>221</v>
      </c>
      <c r="B29" s="70">
        <v>1427.3</v>
      </c>
      <c r="C29" s="70">
        <v>1360.7</v>
      </c>
      <c r="D29" s="70">
        <v>27707</v>
      </c>
      <c r="E29" s="71">
        <f>(D29)/(C29)</f>
        <v>20.362313515102521</v>
      </c>
      <c r="F29" s="70">
        <f>SUM(Table18!I195:M195)+SUM(Table18!B196:H196)</f>
        <v>4180.9789999999994</v>
      </c>
      <c r="G29" s="71">
        <f t="shared" si="1"/>
        <v>15.089973652867506</v>
      </c>
      <c r="H29" s="72">
        <f t="shared" si="2"/>
        <v>3.0726677445432493</v>
      </c>
      <c r="I29" s="162">
        <f t="shared" si="4"/>
        <v>3.4477713213267425</v>
      </c>
      <c r="J29" s="49">
        <v>26751.725999999999</v>
      </c>
      <c r="K29" s="160">
        <f t="shared" si="5"/>
        <v>14.500963414472773</v>
      </c>
      <c r="L29" s="70">
        <v>3879.2580000000003</v>
      </c>
      <c r="M29" s="50">
        <v>301.721</v>
      </c>
      <c r="N29" s="50">
        <f>Table18!I196+Table18!J196</f>
        <v>550.62800000000004</v>
      </c>
      <c r="O29" s="50" t="s">
        <v>152</v>
      </c>
      <c r="P29" s="70">
        <f>Table16!B40</f>
        <v>4462.3339999999998</v>
      </c>
    </row>
    <row r="30" spans="1:16" ht="11.25" customHeight="1" x14ac:dyDescent="0.25">
      <c r="A30" s="73" t="s">
        <v>222</v>
      </c>
      <c r="B30" s="70">
        <v>1365.4</v>
      </c>
      <c r="C30" s="70">
        <v>1347.8</v>
      </c>
      <c r="D30" s="70">
        <v>30710</v>
      </c>
      <c r="E30" s="71">
        <f t="shared" ref="E30:E46" si="6">D30/C30</f>
        <v>22.78527971509126</v>
      </c>
      <c r="F30" s="70">
        <f>SUM(Table18!I196:M196)+SUM(Table18!B197:H197)</f>
        <v>4950.9809999999998</v>
      </c>
      <c r="G30" s="71">
        <f t="shared" si="1"/>
        <v>16.121722565939432</v>
      </c>
      <c r="H30" s="72">
        <f t="shared" si="2"/>
        <v>3.6733795815402877</v>
      </c>
      <c r="I30" s="162">
        <f t="shared" si="4"/>
        <v>3.979996743731673</v>
      </c>
      <c r="J30" s="49">
        <v>29487.743000000002</v>
      </c>
      <c r="K30" s="160">
        <f t="shared" si="5"/>
        <v>15.436059314542996</v>
      </c>
      <c r="L30" s="70">
        <v>4551.7455000000009</v>
      </c>
      <c r="M30" s="50">
        <v>399.23549999999994</v>
      </c>
      <c r="N30" s="50">
        <f>Table18!I197+Table18!J197</f>
        <v>292.02499999999998</v>
      </c>
      <c r="O30" s="50" t="s">
        <v>152</v>
      </c>
      <c r="P30" s="70">
        <f>Table16!B41</f>
        <v>4692.3779999999997</v>
      </c>
    </row>
    <row r="31" spans="1:16" ht="11.25" customHeight="1" x14ac:dyDescent="0.25">
      <c r="A31" s="69" t="s">
        <v>223</v>
      </c>
      <c r="B31" s="70">
        <v>1345.6</v>
      </c>
      <c r="C31" s="74">
        <v>1306.7</v>
      </c>
      <c r="D31" s="74">
        <v>30021</v>
      </c>
      <c r="E31" s="71">
        <f t="shared" si="6"/>
        <v>22.974669013545572</v>
      </c>
      <c r="F31" s="70">
        <f>SUM(Table18!I197:M197)+SUM(Table18!B198:H198)</f>
        <v>4595.2160000000003</v>
      </c>
      <c r="G31" s="71">
        <f t="shared" si="1"/>
        <v>15.30667199626928</v>
      </c>
      <c r="H31" s="72">
        <f t="shared" si="2"/>
        <v>3.5166572281319355</v>
      </c>
      <c r="I31" s="162">
        <f t="shared" si="4"/>
        <v>8.1428200259818126</v>
      </c>
      <c r="J31" s="49">
        <v>27576.444</v>
      </c>
      <c r="K31" s="160">
        <f t="shared" si="5"/>
        <v>15.305256906945653</v>
      </c>
      <c r="L31" s="70">
        <v>4220.6455999999998</v>
      </c>
      <c r="M31" s="50">
        <v>374.57039999999995</v>
      </c>
      <c r="N31" s="50">
        <f>Table18!I198+Table18!J198</f>
        <v>307.58000000000004</v>
      </c>
      <c r="O31" s="50" t="s">
        <v>152</v>
      </c>
      <c r="P31" s="70">
        <f>Table16!B42</f>
        <v>4610.7710000000006</v>
      </c>
    </row>
    <row r="32" spans="1:16" ht="11.25" customHeight="1" x14ac:dyDescent="0.25">
      <c r="A32" s="69" t="s">
        <v>224</v>
      </c>
      <c r="B32" s="70">
        <v>1299.8</v>
      </c>
      <c r="C32" s="74">
        <v>1242.9000000000001</v>
      </c>
      <c r="D32" s="74">
        <v>27433</v>
      </c>
      <c r="E32" s="71">
        <f t="shared" si="6"/>
        <v>22.071767640196313</v>
      </c>
      <c r="F32" s="70">
        <f>SUM(Table18!I198:M198)+SUM(Table18!B199:H199)</f>
        <v>4248.512999999999</v>
      </c>
      <c r="G32" s="71">
        <f t="shared" si="1"/>
        <v>15.486869828308967</v>
      </c>
      <c r="H32" s="72">
        <f t="shared" si="2"/>
        <v>3.4182259232440249</v>
      </c>
      <c r="I32" s="162">
        <f t="shared" si="4"/>
        <v>3.5329238508365779</v>
      </c>
      <c r="J32" s="49">
        <v>26463.813000000002</v>
      </c>
      <c r="K32" s="160">
        <f t="shared" si="5"/>
        <v>14.643392469558334</v>
      </c>
      <c r="L32" s="70">
        <v>3875.2</v>
      </c>
      <c r="M32" s="50">
        <v>373.31300000000005</v>
      </c>
      <c r="N32" s="50">
        <f>Table18!I199+Table18!J199</f>
        <v>502.642</v>
      </c>
      <c r="O32" s="50" t="s">
        <v>152</v>
      </c>
      <c r="P32" s="70">
        <f>Table16!B43</f>
        <v>4443.5749999999998</v>
      </c>
    </row>
    <row r="33" spans="1:39" ht="11.25" customHeight="1" x14ac:dyDescent="0.25">
      <c r="A33" s="69" t="s">
        <v>225</v>
      </c>
      <c r="B33" s="70">
        <v>1366.2</v>
      </c>
      <c r="C33" s="74">
        <v>1303.5999999999999</v>
      </c>
      <c r="D33" s="74">
        <v>34064</v>
      </c>
      <c r="E33" s="71">
        <f t="shared" si="6"/>
        <v>26.130714943234121</v>
      </c>
      <c r="F33" s="70">
        <f>SUM(Table18!I199:M199)+SUM(Table18!B200:H200)</f>
        <v>5062.3850000000002</v>
      </c>
      <c r="G33" s="71">
        <f t="shared" si="1"/>
        <v>14.861393259746361</v>
      </c>
      <c r="H33" s="72">
        <f t="shared" si="2"/>
        <v>3.8833883092973309</v>
      </c>
      <c r="I33" s="162">
        <f t="shared" si="4"/>
        <v>3.7021107327383729</v>
      </c>
      <c r="J33" s="49">
        <v>32802.913</v>
      </c>
      <c r="K33" s="160">
        <f t="shared" si="5"/>
        <v>14.292928801780501</v>
      </c>
      <c r="L33" s="70">
        <v>4688.4970000000003</v>
      </c>
      <c r="M33" s="50">
        <v>373.88799999999998</v>
      </c>
      <c r="N33" s="50">
        <f>Table18!I200+Table18!J200</f>
        <v>448.01900000000001</v>
      </c>
      <c r="O33" s="50" t="s">
        <v>152</v>
      </c>
      <c r="P33" s="70">
        <f>Table16!B44</f>
        <v>5007.7620000000006</v>
      </c>
    </row>
    <row r="34" spans="1:39" ht="11.25" customHeight="1" x14ac:dyDescent="0.25">
      <c r="A34" s="69" t="s">
        <v>226</v>
      </c>
      <c r="B34" s="70">
        <v>1268.8</v>
      </c>
      <c r="C34" s="74">
        <v>1246.8</v>
      </c>
      <c r="D34" s="74">
        <v>31834</v>
      </c>
      <c r="E34" s="71">
        <f t="shared" si="6"/>
        <v>25.532563362207252</v>
      </c>
      <c r="F34" s="70">
        <f>SUM(Table18!I200:M200)+SUM(Table18!B201:H201)</f>
        <v>4879.8090000000002</v>
      </c>
      <c r="G34" s="71">
        <f t="shared" si="1"/>
        <v>15.32892190739461</v>
      </c>
      <c r="H34" s="72">
        <f t="shared" si="2"/>
        <v>3.9138666987487971</v>
      </c>
      <c r="I34" s="162">
        <f t="shared" si="4"/>
        <v>6.5529810894012774</v>
      </c>
      <c r="J34" s="49">
        <v>29747.923999999999</v>
      </c>
      <c r="K34" s="160">
        <f t="shared" si="5"/>
        <v>15.072658515599278</v>
      </c>
      <c r="L34" s="70">
        <v>4483.8030000000008</v>
      </c>
      <c r="M34" s="50">
        <v>396.00500000000011</v>
      </c>
      <c r="N34" s="50">
        <f>Table18!I201+Table18!J201</f>
        <v>289.113</v>
      </c>
      <c r="O34" s="50" t="s">
        <v>152</v>
      </c>
      <c r="P34" s="70">
        <f>Table16!B45</f>
        <v>4720.9030000000002</v>
      </c>
    </row>
    <row r="35" spans="1:39" ht="11.25" customHeight="1" x14ac:dyDescent="0.25">
      <c r="A35" s="69" t="s">
        <v>227</v>
      </c>
      <c r="B35" s="70">
        <v>1090.7</v>
      </c>
      <c r="C35" s="74">
        <v>1004.5</v>
      </c>
      <c r="D35" s="74">
        <v>26881</v>
      </c>
      <c r="E35" s="71">
        <f t="shared" si="6"/>
        <v>26.760577401692384</v>
      </c>
      <c r="F35" s="70">
        <f>SUM(Table18!I201:M201)+SUM(Table18!B202:H202)</f>
        <v>4107.05</v>
      </c>
      <c r="G35" s="71">
        <f t="shared" ref="G35:G51" si="7">100*F35/D35</f>
        <v>15.278635467430528</v>
      </c>
      <c r="H35" s="72">
        <f t="shared" si="2"/>
        <v>4.0886510701841718</v>
      </c>
      <c r="I35" s="162">
        <f t="shared" si="4"/>
        <v>7.6018637699490244</v>
      </c>
      <c r="J35" s="49">
        <v>24837.543000000001</v>
      </c>
      <c r="K35" s="160">
        <f t="shared" si="5"/>
        <v>15.433136844493839</v>
      </c>
      <c r="L35" s="70">
        <v>3833.2120000000004</v>
      </c>
      <c r="M35" s="50">
        <v>273.83799999999997</v>
      </c>
      <c r="N35" s="50">
        <f>Table18!I202+Table18!J202</f>
        <v>395.60499999999996</v>
      </c>
      <c r="O35" s="50" t="s">
        <v>152</v>
      </c>
      <c r="P35" s="70">
        <f>Table16!B46</f>
        <v>4213.5419999999995</v>
      </c>
    </row>
    <row r="36" spans="1:39" ht="11.25" customHeight="1" x14ac:dyDescent="0.25">
      <c r="A36" s="69" t="s">
        <v>228</v>
      </c>
      <c r="B36" s="70">
        <v>1185.8</v>
      </c>
      <c r="C36" s="74">
        <v>1148.5</v>
      </c>
      <c r="D36" s="70">
        <v>29783</v>
      </c>
      <c r="E36" s="71">
        <f t="shared" si="6"/>
        <v>25.932085328689595</v>
      </c>
      <c r="F36" s="70">
        <f>SUM(Table18!I202:M202)+SUM(Table18!B203:H203)</f>
        <v>4348.0439999999999</v>
      </c>
      <c r="G36" s="71">
        <f t="shared" si="7"/>
        <v>14.59908001208743</v>
      </c>
      <c r="H36" s="72">
        <f t="shared" si="2"/>
        <v>3.7858458859381803</v>
      </c>
      <c r="I36" s="162">
        <f t="shared" si="4"/>
        <v>5.6601114729879498</v>
      </c>
      <c r="J36" s="49">
        <v>28097.249</v>
      </c>
      <c r="K36" s="160">
        <f t="shared" si="5"/>
        <v>14.318668706676585</v>
      </c>
      <c r="L36" s="70">
        <v>4023.1519999999996</v>
      </c>
      <c r="M36" s="50">
        <v>324.89100000000002</v>
      </c>
      <c r="N36" s="50">
        <f>Table18!I203+Table18!J203</f>
        <v>622.77599999999995</v>
      </c>
      <c r="O36" s="50" t="s">
        <v>152</v>
      </c>
      <c r="P36" s="70">
        <f>Table16!B47</f>
        <v>4575.2150000000001</v>
      </c>
    </row>
    <row r="37" spans="1:39" ht="11.25" customHeight="1" x14ac:dyDescent="0.25">
      <c r="A37" s="69" t="s">
        <v>229</v>
      </c>
      <c r="B37" s="70">
        <v>1171.9000000000001</v>
      </c>
      <c r="C37" s="74">
        <v>1156.0999999999999</v>
      </c>
      <c r="D37" s="70">
        <v>32034</v>
      </c>
      <c r="E37" s="71">
        <f t="shared" si="6"/>
        <v>27.708675720093421</v>
      </c>
      <c r="F37" s="70">
        <f>SUM(Table18!I203:M203)+SUM(Table18!B204:H204)</f>
        <v>4987.4740000000002</v>
      </c>
      <c r="G37" s="71">
        <f t="shared" si="7"/>
        <v>15.569313854030094</v>
      </c>
      <c r="H37" s="72">
        <f t="shared" si="2"/>
        <v>4.3140506876567777</v>
      </c>
      <c r="I37" s="162">
        <f t="shared" si="4"/>
        <v>5.9230099269526164</v>
      </c>
      <c r="J37" s="49">
        <v>30136.623</v>
      </c>
      <c r="K37" s="160">
        <f t="shared" si="5"/>
        <v>15.36634015032142</v>
      </c>
      <c r="L37" s="70">
        <v>4630.8959999999997</v>
      </c>
      <c r="M37" s="50">
        <v>356.57800000000003</v>
      </c>
      <c r="N37" s="50">
        <f>Table18!I204+Table18!J204</f>
        <v>294.24900000000002</v>
      </c>
      <c r="O37" s="50" t="s">
        <v>152</v>
      </c>
      <c r="P37" s="70">
        <f>Table16!B48</f>
        <v>4658.9470000000001</v>
      </c>
    </row>
    <row r="38" spans="1:39" ht="11.25" customHeight="1" x14ac:dyDescent="0.25">
      <c r="A38" s="69" t="s">
        <v>230</v>
      </c>
      <c r="B38" s="70">
        <v>1232.8</v>
      </c>
      <c r="C38" s="74">
        <v>1213.2</v>
      </c>
      <c r="D38" s="70">
        <v>28896</v>
      </c>
      <c r="E38" s="71">
        <f t="shared" si="6"/>
        <v>23.818001978239366</v>
      </c>
      <c r="F38" s="70">
        <f>SUM(Table18!I204:M204)+SUM(Table18!B205:H205)</f>
        <v>4486.7460000000001</v>
      </c>
      <c r="G38" s="71">
        <f t="shared" si="7"/>
        <v>15.527221760797344</v>
      </c>
      <c r="H38" s="72">
        <f t="shared" si="2"/>
        <v>3.6982739861523242</v>
      </c>
      <c r="I38" s="162">
        <f t="shared" si="4"/>
        <v>5.734215808416387</v>
      </c>
      <c r="J38" s="49">
        <v>27239.041000000001</v>
      </c>
      <c r="K38" s="160">
        <f t="shared" si="5"/>
        <v>15.005157487005505</v>
      </c>
      <c r="L38" s="70">
        <v>4087.2609999999995</v>
      </c>
      <c r="M38" s="50">
        <v>399.48600000000005</v>
      </c>
      <c r="N38" s="50">
        <f>Table18!I205+Table18!J205</f>
        <v>702.61300000000006</v>
      </c>
      <c r="O38" s="50" t="s">
        <v>152</v>
      </c>
      <c r="P38" s="70">
        <f>Table16!B49</f>
        <v>4895.1099999999997</v>
      </c>
    </row>
    <row r="39" spans="1:39" ht="11.25" customHeight="1" x14ac:dyDescent="0.25">
      <c r="A39" s="69" t="s">
        <v>231</v>
      </c>
      <c r="B39" s="70">
        <v>1230.0999999999999</v>
      </c>
      <c r="C39" s="74">
        <v>1204.0999999999999</v>
      </c>
      <c r="D39" s="70">
        <v>35224</v>
      </c>
      <c r="E39" s="71">
        <f t="shared" si="6"/>
        <v>29.253384270409438</v>
      </c>
      <c r="F39" s="70">
        <f>SUM(Table18!I205:M205)+SUM(Table18!B206:H206)</f>
        <v>5463.3179999999993</v>
      </c>
      <c r="G39" s="71">
        <f t="shared" si="7"/>
        <v>15.510214626391095</v>
      </c>
      <c r="H39" s="72">
        <f t="shared" si="2"/>
        <v>4.5372626858234364</v>
      </c>
      <c r="I39" s="162">
        <f t="shared" si="4"/>
        <v>4.8049114240290791</v>
      </c>
      <c r="J39" s="49">
        <v>33531.517999999996</v>
      </c>
      <c r="K39" s="160">
        <f t="shared" si="5"/>
        <v>15.317490249024818</v>
      </c>
      <c r="L39" s="70">
        <v>5136.1870000000008</v>
      </c>
      <c r="M39" s="50">
        <v>358.87099999999998</v>
      </c>
      <c r="N39" s="50">
        <f>Table18!I206+Table18!J206</f>
        <v>315.39400000000001</v>
      </c>
      <c r="O39" s="50" t="s">
        <v>152</v>
      </c>
      <c r="P39" s="70">
        <f>Table16!B50</f>
        <v>5076.0990000000002</v>
      </c>
    </row>
    <row r="40" spans="1:39" ht="11.25" customHeight="1" x14ac:dyDescent="0.25">
      <c r="A40" s="69" t="s">
        <v>232</v>
      </c>
      <c r="B40" s="70">
        <v>1198</v>
      </c>
      <c r="C40" s="74">
        <v>1154</v>
      </c>
      <c r="D40" s="70">
        <v>32789</v>
      </c>
      <c r="E40" s="71">
        <f t="shared" si="6"/>
        <v>28.413344887348355</v>
      </c>
      <c r="F40" s="70">
        <f>SUM(Table18!I206:M206)+SUM(Table18!B207:H207)</f>
        <v>4648.3440000000001</v>
      </c>
      <c r="G40" s="71">
        <f t="shared" si="7"/>
        <v>14.17653481350453</v>
      </c>
      <c r="H40" s="72">
        <f t="shared" si="2"/>
        <v>4.0280277296360483</v>
      </c>
      <c r="I40" s="162">
        <f t="shared" si="4"/>
        <v>6.8430327243892748</v>
      </c>
      <c r="J40" s="49">
        <v>30545.238000000001</v>
      </c>
      <c r="K40" s="160">
        <f t="shared" si="5"/>
        <v>14.158311681840555</v>
      </c>
      <c r="L40" s="70">
        <v>4324.6900000000005</v>
      </c>
      <c r="M40" s="50">
        <v>323.654</v>
      </c>
      <c r="N40" s="50">
        <f>Table18!I207+Table18!J207</f>
        <v>461.315</v>
      </c>
      <c r="O40" s="50" t="s">
        <v>152</v>
      </c>
      <c r="P40" s="70">
        <f>Table16!B51</f>
        <v>4794.2649999999994</v>
      </c>
    </row>
    <row r="41" spans="1:39" s="75" customFormat="1" ht="11.25" customHeight="1" x14ac:dyDescent="0.25">
      <c r="A41" s="69" t="s">
        <v>233</v>
      </c>
      <c r="B41" s="70">
        <v>1162.5</v>
      </c>
      <c r="C41" s="74">
        <v>1146.3</v>
      </c>
      <c r="D41" s="70">
        <v>31285</v>
      </c>
      <c r="E41" s="71">
        <f t="shared" si="6"/>
        <v>27.292157375905088</v>
      </c>
      <c r="F41" s="70">
        <f>SUM(Table18!I207:M207)+SUM(Table18!B208:H208)</f>
        <v>4666.5470000000005</v>
      </c>
      <c r="G41" s="71">
        <f t="shared" si="7"/>
        <v>14.916244206488734</v>
      </c>
      <c r="H41" s="72">
        <f t="shared" si="2"/>
        <v>4.0709648434092305</v>
      </c>
      <c r="I41" s="162">
        <f t="shared" si="4"/>
        <v>5.4023813329071357</v>
      </c>
      <c r="J41" s="49">
        <v>29594.865000000002</v>
      </c>
      <c r="K41" s="160">
        <f t="shared" si="5"/>
        <v>14.61434272465848</v>
      </c>
      <c r="L41" s="70">
        <v>4325.0949999999993</v>
      </c>
      <c r="M41" s="50">
        <v>341.45299999999997</v>
      </c>
      <c r="N41" s="50">
        <f>Table18!I208+Table18!J208</f>
        <v>688.07600000000002</v>
      </c>
      <c r="O41" s="50" t="s">
        <v>152</v>
      </c>
      <c r="P41" s="70">
        <f>Table16!B52</f>
        <v>4893.3080000000009</v>
      </c>
      <c r="Q41"/>
      <c r="R41"/>
      <c r="S41"/>
      <c r="T41"/>
      <c r="U41"/>
      <c r="V41"/>
      <c r="W41"/>
      <c r="X41"/>
      <c r="Y41"/>
      <c r="Z41"/>
      <c r="AA41"/>
      <c r="AB41"/>
      <c r="AC41"/>
      <c r="AD41"/>
      <c r="AE41"/>
      <c r="AF41"/>
      <c r="AG41"/>
      <c r="AH41"/>
      <c r="AI41"/>
      <c r="AJ41"/>
      <c r="AK41"/>
      <c r="AL41"/>
      <c r="AM41"/>
    </row>
    <row r="42" spans="1:39" ht="11.25" customHeight="1" x14ac:dyDescent="0.25">
      <c r="A42" s="69" t="s">
        <v>234</v>
      </c>
      <c r="B42" s="70">
        <v>1159.8</v>
      </c>
      <c r="C42" s="74">
        <v>1145.4000000000001</v>
      </c>
      <c r="D42" s="70">
        <v>35359</v>
      </c>
      <c r="E42" s="71">
        <f t="shared" si="6"/>
        <v>30.870438274838481</v>
      </c>
      <c r="F42" s="70">
        <f>SUM(Table18!I208:M208)+SUM(Table18!B209:H209)</f>
        <v>5200.7759999999998</v>
      </c>
      <c r="G42" s="71">
        <f t="shared" si="7"/>
        <v>14.708492887242286</v>
      </c>
      <c r="H42" s="72">
        <f t="shared" si="2"/>
        <v>4.5405762179151381</v>
      </c>
      <c r="I42" s="162">
        <f t="shared" si="4"/>
        <v>6.4852484515964814</v>
      </c>
      <c r="J42" s="49">
        <v>33065.881000000001</v>
      </c>
      <c r="K42" s="160">
        <f t="shared" si="5"/>
        <v>14.577872581105581</v>
      </c>
      <c r="L42" s="70">
        <v>4820.3019999999997</v>
      </c>
      <c r="M42" s="50">
        <v>380.47399999999999</v>
      </c>
      <c r="N42" s="50">
        <f>Table18!I209+Table18!J209</f>
        <v>606.41599999999994</v>
      </c>
      <c r="O42" s="50" t="s">
        <v>152</v>
      </c>
      <c r="P42" s="70">
        <f>Table16!B53</f>
        <v>5119.116</v>
      </c>
    </row>
    <row r="43" spans="1:39" ht="11.25" customHeight="1" x14ac:dyDescent="0.25">
      <c r="A43" s="69" t="s">
        <v>235</v>
      </c>
      <c r="B43" s="70">
        <v>1163.4000000000001</v>
      </c>
      <c r="C43" s="74">
        <v>1126.4000000000001</v>
      </c>
      <c r="D43" s="70">
        <v>36920</v>
      </c>
      <c r="E43" s="71">
        <f t="shared" si="6"/>
        <v>32.776988636363633</v>
      </c>
      <c r="F43" s="70">
        <f>SUM(Table18!I209:M209)+SUM(Table18!B210:H210)</f>
        <v>4994.7129999999997</v>
      </c>
      <c r="G43" s="71">
        <f t="shared" si="7"/>
        <v>13.52847508125677</v>
      </c>
      <c r="H43" s="72">
        <f t="shared" si="2"/>
        <v>4.4342267400568174</v>
      </c>
      <c r="I43" s="162">
        <f t="shared" si="4"/>
        <v>8.3598374864572005</v>
      </c>
      <c r="J43" s="49">
        <v>33833.548000000003</v>
      </c>
      <c r="K43" s="160">
        <f t="shared" si="5"/>
        <v>13.722814408941092</v>
      </c>
      <c r="L43" s="70">
        <v>4642.9150000000009</v>
      </c>
      <c r="M43" s="50">
        <v>351.79799999999994</v>
      </c>
      <c r="N43" s="50">
        <f>Table18!I210+Table18!J210</f>
        <v>714.65499999999997</v>
      </c>
      <c r="O43" s="50" t="s">
        <v>152</v>
      </c>
      <c r="P43" s="70">
        <f>Table16!B54</f>
        <v>5102.9520000000002</v>
      </c>
    </row>
    <row r="44" spans="1:39" ht="11.25" customHeight="1" x14ac:dyDescent="0.25">
      <c r="A44" s="69" t="s">
        <v>236</v>
      </c>
      <c r="B44" s="70">
        <v>1131.4000000000001</v>
      </c>
      <c r="C44" s="74">
        <v>1113.8</v>
      </c>
      <c r="D44" s="70">
        <v>35317</v>
      </c>
      <c r="E44" s="71">
        <f t="shared" si="6"/>
        <v>31.70856527204166</v>
      </c>
      <c r="F44" s="70">
        <f>SUM(Table18!I210:M210)+SUM(Table18!B211:H211)</f>
        <v>5338.2219999999998</v>
      </c>
      <c r="G44" s="71">
        <f t="shared" si="7"/>
        <v>15.115162669535916</v>
      </c>
      <c r="H44" s="72">
        <f t="shared" si="2"/>
        <v>4.792801221045071</v>
      </c>
      <c r="I44" s="162">
        <f t="shared" si="4"/>
        <v>7.2922473596285009</v>
      </c>
      <c r="J44" s="49">
        <v>32741.597000000002</v>
      </c>
      <c r="K44" s="160">
        <f t="shared" si="5"/>
        <v>15.186351478212867</v>
      </c>
      <c r="L44" s="70">
        <v>4972.2539999999999</v>
      </c>
      <c r="M44" s="50">
        <v>365.96800000000002</v>
      </c>
      <c r="N44" s="50">
        <f>Table18!I211+Table18!J211</f>
        <v>655.26499999999999</v>
      </c>
      <c r="O44" s="50" t="s">
        <v>152</v>
      </c>
      <c r="P44" s="70">
        <f>Table16!B55</f>
        <v>5278.8319999999994</v>
      </c>
    </row>
    <row r="45" spans="1:39" ht="11.25" customHeight="1" x14ac:dyDescent="0.25">
      <c r="A45" s="69" t="s">
        <v>237</v>
      </c>
      <c r="B45" s="70">
        <v>1113.0999999999999</v>
      </c>
      <c r="C45" s="74">
        <v>1096.4000000000001</v>
      </c>
      <c r="D45" s="70">
        <v>33282</v>
      </c>
      <c r="E45" s="71">
        <f t="shared" si="6"/>
        <v>30.355709595038306</v>
      </c>
      <c r="F45" s="70">
        <f>SUM(Table18!I211:M211)+SUM(Table18!B212:H212)</f>
        <v>5012.018</v>
      </c>
      <c r="G45" s="71">
        <f t="shared" si="7"/>
        <v>15.059245237666005</v>
      </c>
      <c r="H45" s="72">
        <f t="shared" si="2"/>
        <v>4.5713407515505287</v>
      </c>
      <c r="I45" s="162">
        <f t="shared" si="4"/>
        <v>5.1696893215551931</v>
      </c>
      <c r="J45" s="49">
        <v>31561.423999999999</v>
      </c>
      <c r="K45" s="160">
        <f t="shared" si="5"/>
        <v>14.7718556678558</v>
      </c>
      <c r="L45" s="70">
        <v>4662.2080000000005</v>
      </c>
      <c r="M45" s="50">
        <v>349.81</v>
      </c>
      <c r="N45" s="50">
        <f>Table18!I212+Table18!J212</f>
        <v>582.06000000000006</v>
      </c>
      <c r="O45" s="50" t="s">
        <v>152</v>
      </c>
      <c r="P45" s="70">
        <f>Table16!B56</f>
        <v>4938.8130000000001</v>
      </c>
    </row>
    <row r="46" spans="1:39" s="206" customFormat="1" ht="11.25" customHeight="1" x14ac:dyDescent="0.25">
      <c r="A46" s="69" t="s">
        <v>238</v>
      </c>
      <c r="B46" s="70">
        <v>1133</v>
      </c>
      <c r="C46" s="74">
        <v>980.1</v>
      </c>
      <c r="D46" s="70">
        <v>28600</v>
      </c>
      <c r="E46" s="71">
        <f t="shared" si="6"/>
        <v>29.180695847362514</v>
      </c>
      <c r="F46" s="70">
        <f>SUM(Table18!I212:M212)+SUM(Table18!B213:H213)</f>
        <v>4168.665</v>
      </c>
      <c r="G46" s="71">
        <f t="shared" si="7"/>
        <v>14.575751748251749</v>
      </c>
      <c r="H46" s="72">
        <f t="shared" si="2"/>
        <v>4.2533057851239668</v>
      </c>
      <c r="I46" s="162">
        <f t="shared" si="4"/>
        <v>5.3428496503496454</v>
      </c>
      <c r="J46" s="49">
        <v>27071.945</v>
      </c>
      <c r="K46" s="160">
        <f t="shared" si="5"/>
        <v>14.13957142717304</v>
      </c>
      <c r="L46" s="70">
        <v>3827.857</v>
      </c>
      <c r="M46" s="50">
        <v>340.80799999999999</v>
      </c>
      <c r="N46" s="50">
        <f>Table18!I213+Table18!J213</f>
        <v>764.64499999999998</v>
      </c>
      <c r="O46" s="50" t="s">
        <v>152</v>
      </c>
      <c r="P46" s="70">
        <f>Table16!B57</f>
        <v>4351.25</v>
      </c>
    </row>
    <row r="47" spans="1:39" s="220" customFormat="1" ht="11.25" customHeight="1" x14ac:dyDescent="0.25">
      <c r="A47" s="69" t="s">
        <v>239</v>
      </c>
      <c r="B47" s="70">
        <v>1162.2</v>
      </c>
      <c r="C47" s="74">
        <v>1141.8</v>
      </c>
      <c r="D47" s="70">
        <v>33618</v>
      </c>
      <c r="E47" s="71">
        <f>D47/C47</f>
        <v>29.442984760903837</v>
      </c>
      <c r="F47" s="70">
        <f>SUM(Table18!I213:M213)+SUM(Table18!B214:H214)</f>
        <v>5180.7070000000003</v>
      </c>
      <c r="G47" s="71">
        <f t="shared" si="7"/>
        <v>15.410515200190375</v>
      </c>
      <c r="H47" s="72">
        <f t="shared" si="2"/>
        <v>4.5373156419688216</v>
      </c>
      <c r="I47" s="162">
        <f t="shared" si="4"/>
        <v>6.5997382354690988</v>
      </c>
      <c r="J47" s="49">
        <v>31399.3</v>
      </c>
      <c r="K47" s="160">
        <f t="shared" si="5"/>
        <v>15.344998136901145</v>
      </c>
      <c r="L47" s="70">
        <v>4818.2220000000007</v>
      </c>
      <c r="M47" s="50">
        <v>362.48500000000001</v>
      </c>
      <c r="N47" s="50">
        <f>Table18!I214+Table18!J214</f>
        <v>675.68200000000002</v>
      </c>
      <c r="O47" s="50" t="s">
        <v>152</v>
      </c>
      <c r="P47" s="70">
        <f>Table16!B58</f>
        <v>5091.7439999999997</v>
      </c>
    </row>
    <row r="48" spans="1:39" ht="11.25" customHeight="1" x14ac:dyDescent="0.25">
      <c r="A48" s="69" t="s">
        <v>348</v>
      </c>
      <c r="B48" s="70">
        <f>Table14!AQ32</f>
        <v>1161</v>
      </c>
      <c r="C48" s="74">
        <f>Table14!AQ66</f>
        <v>1108.5</v>
      </c>
      <c r="D48" s="70">
        <f>Table14!AQ134</f>
        <v>36772</v>
      </c>
      <c r="E48" s="71">
        <f>D48/C48</f>
        <v>33.172755976544877</v>
      </c>
      <c r="F48" s="70">
        <f>SUM(Table18!I214:M214)+SUM(Table18!B215:H215)</f>
        <v>5294.3179999999993</v>
      </c>
      <c r="G48" s="71">
        <f t="shared" si="7"/>
        <v>14.39768845860981</v>
      </c>
      <c r="H48" s="72">
        <f t="shared" si="2"/>
        <v>4.7761100586377978</v>
      </c>
      <c r="I48" s="162">
        <f t="shared" si="4"/>
        <v>7.9450968127923289</v>
      </c>
      <c r="J48" s="49">
        <v>33850.429000000004</v>
      </c>
      <c r="K48" s="160">
        <f t="shared" si="5"/>
        <v>14.633616607931316</v>
      </c>
      <c r="L48" s="70">
        <v>4953.5419999999986</v>
      </c>
      <c r="M48" s="50">
        <v>340.77600000000001</v>
      </c>
      <c r="N48" s="50">
        <f>Table18!I215+Table18!J215</f>
        <v>536.75300000000004</v>
      </c>
      <c r="O48" s="50" t="s">
        <v>152</v>
      </c>
      <c r="P48" s="70">
        <f>Table16!B59</f>
        <v>5155.3889999999992</v>
      </c>
    </row>
    <row r="49" spans="1:16" ht="11.25" customHeight="1" x14ac:dyDescent="0.25">
      <c r="A49" s="60" t="s">
        <v>381</v>
      </c>
      <c r="B49" s="70">
        <f>Table14!AR32</f>
        <v>1159.6000000000001</v>
      </c>
      <c r="C49" s="74">
        <f>Table14!AR66</f>
        <v>1137.5</v>
      </c>
      <c r="D49" s="70">
        <f>Table14!AR134</f>
        <v>32644</v>
      </c>
      <c r="E49" s="71">
        <f>D49/C49</f>
        <v>28.698021978021977</v>
      </c>
      <c r="F49" s="70">
        <f>SUM(Table18!I215:M215)+SUM(Table18!B216:H216)</f>
        <v>5061.3379999999997</v>
      </c>
      <c r="G49" s="71">
        <f t="shared" si="7"/>
        <v>15.504650165420903</v>
      </c>
      <c r="H49" s="72">
        <f t="shared" si="2"/>
        <v>4.4495279120879117</v>
      </c>
      <c r="I49" s="162">
        <f t="shared" si="4"/>
        <v>6.3886288445043515</v>
      </c>
      <c r="J49" s="49">
        <v>30558.495999999999</v>
      </c>
      <c r="K49" s="160">
        <f t="shared" si="5"/>
        <v>15.346645332283368</v>
      </c>
      <c r="L49" s="70">
        <v>4689.7039999999997</v>
      </c>
      <c r="M49" s="50">
        <v>371.63471000000004</v>
      </c>
      <c r="N49" s="50">
        <f>Table18!I216+Table18!J216</f>
        <v>662.84</v>
      </c>
      <c r="O49" s="50" t="s">
        <v>152</v>
      </c>
      <c r="P49" s="70">
        <f>Table16!B60</f>
        <v>5187.4250000000002</v>
      </c>
    </row>
    <row r="50" spans="1:16" ht="11.25" customHeight="1" x14ac:dyDescent="0.25">
      <c r="A50" s="60" t="s">
        <v>378</v>
      </c>
      <c r="B50" s="70">
        <f>Table14!AS32</f>
        <v>1125</v>
      </c>
      <c r="C50" s="70">
        <f>Table14!AS66</f>
        <v>1114.2</v>
      </c>
      <c r="D50" s="70">
        <f>Table14!AS134</f>
        <v>35884</v>
      </c>
      <c r="E50" s="71">
        <f>D50/C50</f>
        <v>32.206067133369231</v>
      </c>
      <c r="F50" s="70">
        <f>SUM(Table18!I216:M216)+SUM(Table18!B217:H217)</f>
        <v>5144.8060000000005</v>
      </c>
      <c r="G50" s="71">
        <f t="shared" si="7"/>
        <v>14.337325827666927</v>
      </c>
      <c r="H50" s="72">
        <f t="shared" si="2"/>
        <v>4.617488781188297</v>
      </c>
      <c r="I50" s="162">
        <f t="shared" si="4"/>
        <v>7.934644967116256</v>
      </c>
      <c r="J50" s="49">
        <v>33036.732000000004</v>
      </c>
      <c r="K50" s="160">
        <f t="shared" si="5"/>
        <v>14.742550806780766</v>
      </c>
      <c r="L50" s="70">
        <v>4870.4570000000003</v>
      </c>
      <c r="M50" s="50">
        <v>274.69</v>
      </c>
      <c r="N50" s="50">
        <f>Table18!I217+Table18!J217</f>
        <v>690.49399999999991</v>
      </c>
      <c r="O50" s="50" t="s">
        <v>152</v>
      </c>
      <c r="P50" s="70">
        <f>Table16!B61</f>
        <v>5172.46</v>
      </c>
    </row>
    <row r="51" spans="1:16" ht="11.25" customHeight="1" x14ac:dyDescent="0.25">
      <c r="A51" s="151" t="s">
        <v>377</v>
      </c>
      <c r="B51" s="165">
        <f>Table14!AT32</f>
        <v>1104.3</v>
      </c>
      <c r="C51" s="165">
        <f>Table14!AT66</f>
        <v>1085.5</v>
      </c>
      <c r="D51" s="165">
        <f>Table14!AT134</f>
        <v>35278</v>
      </c>
      <c r="E51" s="166">
        <f>D51/C51</f>
        <v>32.49930907415937</v>
      </c>
      <c r="F51" s="165">
        <f>L51+M51</f>
        <v>5322.4053570626756</v>
      </c>
      <c r="G51" s="166">
        <f t="shared" si="7"/>
        <v>15.08703825914926</v>
      </c>
      <c r="H51" s="164">
        <f t="shared" si="2"/>
        <v>4.9031831939775916</v>
      </c>
      <c r="I51" s="163">
        <f t="shared" si="4"/>
        <v>6.6952825440035779</v>
      </c>
      <c r="J51" s="129">
        <v>32916.038224126416</v>
      </c>
      <c r="K51" s="161">
        <f t="shared" ref="K51" si="8">L51/J51*100</f>
        <v>15.106329999999998</v>
      </c>
      <c r="L51" s="165">
        <v>4972.4053570626756</v>
      </c>
      <c r="M51" s="167">
        <v>350</v>
      </c>
      <c r="N51" s="167">
        <f>AVERAGE(N46:N50)</f>
        <v>666.08279999999991</v>
      </c>
      <c r="O51" s="167">
        <v>40</v>
      </c>
      <c r="P51" s="165">
        <f>Table16!B62</f>
        <v>5337.9941570626761</v>
      </c>
    </row>
    <row r="52" spans="1:16" ht="11.25" customHeight="1" x14ac:dyDescent="0.25">
      <c r="A52" s="221" t="s">
        <v>359</v>
      </c>
      <c r="B52" s="70"/>
      <c r="C52" s="74"/>
      <c r="D52" s="70"/>
      <c r="E52" s="71"/>
      <c r="F52" s="70"/>
      <c r="G52" s="71"/>
      <c r="H52" s="72"/>
      <c r="I52" s="162"/>
      <c r="J52" s="72"/>
      <c r="L52" s="70"/>
      <c r="M52" s="70"/>
      <c r="N52" s="70"/>
      <c r="O52" s="70"/>
      <c r="P52" s="70"/>
    </row>
    <row r="53" spans="1:16" ht="11.25" customHeight="1" x14ac:dyDescent="0.25">
      <c r="A53" s="107" t="s">
        <v>420</v>
      </c>
      <c r="B53" s="70"/>
      <c r="C53" s="74"/>
      <c r="D53" s="70"/>
      <c r="E53" s="71"/>
      <c r="F53" s="70"/>
      <c r="G53" s="71"/>
      <c r="H53" s="72"/>
      <c r="I53" s="162"/>
      <c r="J53" s="72"/>
      <c r="L53" s="70"/>
      <c r="M53" s="70"/>
      <c r="N53" s="70"/>
      <c r="O53" s="70"/>
      <c r="P53" s="70"/>
    </row>
    <row r="54" spans="1:16" ht="11.25" customHeight="1" x14ac:dyDescent="0.25">
      <c r="A54" s="107" t="s">
        <v>421</v>
      </c>
      <c r="B54" s="70"/>
      <c r="C54" s="74"/>
      <c r="D54" s="70"/>
      <c r="E54" s="71"/>
      <c r="F54" s="70"/>
      <c r="G54" s="71"/>
      <c r="H54" s="72"/>
      <c r="I54" s="162"/>
      <c r="J54" s="72"/>
      <c r="L54" s="70"/>
      <c r="M54" s="70"/>
      <c r="N54" s="70"/>
      <c r="O54" s="70"/>
      <c r="P54" s="70"/>
    </row>
    <row r="55" spans="1:16" ht="11.25" customHeight="1" x14ac:dyDescent="0.25">
      <c r="A55" s="107" t="s">
        <v>422</v>
      </c>
      <c r="B55" s="70"/>
      <c r="C55" s="74"/>
      <c r="D55" s="70"/>
      <c r="E55" s="71"/>
      <c r="F55" s="70"/>
      <c r="G55" s="71"/>
      <c r="H55" s="72"/>
      <c r="I55" s="162"/>
      <c r="J55" s="72"/>
      <c r="L55" s="70"/>
      <c r="M55" s="70"/>
      <c r="N55" s="70"/>
      <c r="O55" s="70"/>
      <c r="P55" s="70"/>
    </row>
    <row r="56" spans="1:16" ht="11.25" customHeight="1" x14ac:dyDescent="0.25">
      <c r="A56" s="65" t="s">
        <v>424</v>
      </c>
      <c r="B56" s="139"/>
      <c r="C56" s="139"/>
      <c r="D56" s="139"/>
      <c r="E56" s="139"/>
      <c r="F56" s="139"/>
      <c r="G56" s="139"/>
      <c r="H56" s="139"/>
      <c r="I56" s="162"/>
      <c r="J56" s="139"/>
      <c r="L56" s="139"/>
      <c r="M56" s="139"/>
      <c r="N56" s="139"/>
      <c r="O56" s="139"/>
      <c r="P56" s="139"/>
    </row>
    <row r="57" spans="1:16" ht="11.25" customHeight="1" x14ac:dyDescent="0.25">
      <c r="A57" s="35" t="s">
        <v>408</v>
      </c>
      <c r="B57" s="70"/>
      <c r="C57" s="74"/>
      <c r="D57" s="70"/>
      <c r="E57" s="71"/>
      <c r="F57" s="70"/>
      <c r="G57" s="71"/>
      <c r="H57" s="72"/>
      <c r="I57" s="162"/>
      <c r="J57" s="72"/>
      <c r="L57" s="70"/>
      <c r="M57" s="70"/>
      <c r="N57" s="70"/>
      <c r="O57" s="70"/>
      <c r="P57" s="70"/>
    </row>
    <row r="58" spans="1:16" ht="11.25" customHeight="1" x14ac:dyDescent="0.25">
      <c r="A58" s="107" t="s">
        <v>332</v>
      </c>
      <c r="B58" s="70"/>
      <c r="C58" s="74"/>
      <c r="D58" s="70"/>
      <c r="E58" s="71"/>
      <c r="F58" s="70"/>
      <c r="G58" s="71"/>
      <c r="H58" s="72"/>
      <c r="I58" s="162"/>
      <c r="J58" s="72"/>
      <c r="L58" s="70"/>
      <c r="M58" s="70"/>
      <c r="N58" s="70"/>
      <c r="O58" s="70"/>
      <c r="P58" s="70"/>
    </row>
    <row r="61" spans="1:16" x14ac:dyDescent="0.25">
      <c r="G61" s="21" t="s">
        <v>88</v>
      </c>
    </row>
    <row r="62" spans="1:16" x14ac:dyDescent="0.25">
      <c r="F62" s="21" t="s">
        <v>88</v>
      </c>
      <c r="L62" s="21" t="s">
        <v>88</v>
      </c>
      <c r="P62" s="21" t="s">
        <v>88</v>
      </c>
    </row>
  </sheetData>
  <pageMargins left="0.75" right="0.75" top="1" bottom="1" header="0.5" footer="0.5"/>
  <pageSetup scale="77" orientation="portrait" verticalDpi="300" r:id="rId1"/>
  <headerFooter alignWithMargins="0"/>
  <ignoredErrors>
    <ignoredError sqref="F19:F49" formulaRange="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335D7-C261-4048-AAB6-E4FF537261E5}">
  <dimension ref="A1:AH261"/>
  <sheetViews>
    <sheetView zoomScaleNormal="100" zoomScaleSheetLayoutView="100" workbookViewId="0">
      <pane xSplit="1" ySplit="5" topLeftCell="B6" activePane="bottomRight" state="frozen"/>
      <selection pane="topRight" activeCell="B1" sqref="B1"/>
      <selection pane="bottomLeft" activeCell="A6" sqref="A6"/>
      <selection pane="bottomRight"/>
    </sheetView>
  </sheetViews>
  <sheetFormatPr defaultRowHeight="12.75" x14ac:dyDescent="0.2"/>
  <cols>
    <col min="1" max="1" width="17.42578125" style="80" customWidth="1"/>
    <col min="2" max="2" width="6.5703125" style="10" customWidth="1"/>
    <col min="3" max="3" width="7.140625" style="10" bestFit="1" customWidth="1"/>
    <col min="4" max="5" width="6.5703125" style="10" customWidth="1"/>
    <col min="6" max="6" width="6.7109375" style="10" customWidth="1"/>
    <col min="7" max="12" width="6.5703125" style="10" customWidth="1"/>
    <col min="13" max="13" width="7.140625" style="10" bestFit="1" customWidth="1"/>
    <col min="14" max="14" width="0.28515625" style="10" customWidth="1"/>
    <col min="15" max="15" width="5.5703125" style="10" customWidth="1"/>
    <col min="16" max="17" width="5.85546875" style="10" customWidth="1"/>
    <col min="18" max="18" width="6.28515625" style="10" customWidth="1"/>
    <col min="19" max="19" width="7.85546875" style="10" customWidth="1"/>
    <col min="20" max="20" width="0.28515625" style="85" customWidth="1"/>
    <col min="21" max="21" width="7.85546875" style="10" customWidth="1"/>
    <col min="22" max="22" width="9.140625" style="10"/>
    <col min="23" max="34" width="9.140625" style="260"/>
    <col min="35" max="231" width="9.140625" style="10"/>
    <col min="232" max="232" width="17.42578125" style="10" customWidth="1"/>
    <col min="233" max="236" width="6.5703125" style="10" customWidth="1"/>
    <col min="237" max="237" width="6.7109375" style="10" customWidth="1"/>
    <col min="238" max="244" width="6.5703125" style="10" customWidth="1"/>
    <col min="245" max="245" width="0" style="10" hidden="1" customWidth="1"/>
    <col min="246" max="246" width="5.5703125" style="10" customWidth="1"/>
    <col min="247" max="248" width="5.85546875" style="10" customWidth="1"/>
    <col min="249" max="249" width="6.28515625" style="10" customWidth="1"/>
    <col min="250" max="250" width="6.7109375" style="10" customWidth="1"/>
    <col min="251" max="251" width="0" style="10" hidden="1" customWidth="1"/>
    <col min="252" max="252" width="11.28515625" style="10" customWidth="1"/>
    <col min="253" max="253" width="8" style="10" customWidth="1"/>
    <col min="254" max="487" width="9.140625" style="10"/>
    <col min="488" max="488" width="17.42578125" style="10" customWidth="1"/>
    <col min="489" max="492" width="6.5703125" style="10" customWidth="1"/>
    <col min="493" max="493" width="6.7109375" style="10" customWidth="1"/>
    <col min="494" max="500" width="6.5703125" style="10" customWidth="1"/>
    <col min="501" max="501" width="0" style="10" hidden="1" customWidth="1"/>
    <col min="502" max="502" width="5.5703125" style="10" customWidth="1"/>
    <col min="503" max="504" width="5.85546875" style="10" customWidth="1"/>
    <col min="505" max="505" width="6.28515625" style="10" customWidth="1"/>
    <col min="506" max="506" width="6.7109375" style="10" customWidth="1"/>
    <col min="507" max="507" width="0" style="10" hidden="1" customWidth="1"/>
    <col min="508" max="508" width="11.28515625" style="10" customWidth="1"/>
    <col min="509" max="509" width="8" style="10" customWidth="1"/>
    <col min="510" max="743" width="9.140625" style="10"/>
    <col min="744" max="744" width="17.42578125" style="10" customWidth="1"/>
    <col min="745" max="748" width="6.5703125" style="10" customWidth="1"/>
    <col min="749" max="749" width="6.7109375" style="10" customWidth="1"/>
    <col min="750" max="756" width="6.5703125" style="10" customWidth="1"/>
    <col min="757" max="757" width="0" style="10" hidden="1" customWidth="1"/>
    <col min="758" max="758" width="5.5703125" style="10" customWidth="1"/>
    <col min="759" max="760" width="5.85546875" style="10" customWidth="1"/>
    <col min="761" max="761" width="6.28515625" style="10" customWidth="1"/>
    <col min="762" max="762" width="6.7109375" style="10" customWidth="1"/>
    <col min="763" max="763" width="0" style="10" hidden="1" customWidth="1"/>
    <col min="764" max="764" width="11.28515625" style="10" customWidth="1"/>
    <col min="765" max="765" width="8" style="10" customWidth="1"/>
    <col min="766" max="999" width="9.140625" style="10"/>
    <col min="1000" max="1000" width="17.42578125" style="10" customWidth="1"/>
    <col min="1001" max="1004" width="6.5703125" style="10" customWidth="1"/>
    <col min="1005" max="1005" width="6.7109375" style="10" customWidth="1"/>
    <col min="1006" max="1012" width="6.5703125" style="10" customWidth="1"/>
    <col min="1013" max="1013" width="0" style="10" hidden="1" customWidth="1"/>
    <col min="1014" max="1014" width="5.5703125" style="10" customWidth="1"/>
    <col min="1015" max="1016" width="5.85546875" style="10" customWidth="1"/>
    <col min="1017" max="1017" width="6.28515625" style="10" customWidth="1"/>
    <col min="1018" max="1018" width="6.7109375" style="10" customWidth="1"/>
    <col min="1019" max="1019" width="0" style="10" hidden="1" customWidth="1"/>
    <col min="1020" max="1020" width="11.28515625" style="10" customWidth="1"/>
    <col min="1021" max="1021" width="8" style="10" customWidth="1"/>
    <col min="1022" max="1255" width="9.140625" style="10"/>
    <col min="1256" max="1256" width="17.42578125" style="10" customWidth="1"/>
    <col min="1257" max="1260" width="6.5703125" style="10" customWidth="1"/>
    <col min="1261" max="1261" width="6.7109375" style="10" customWidth="1"/>
    <col min="1262" max="1268" width="6.5703125" style="10" customWidth="1"/>
    <col min="1269" max="1269" width="0" style="10" hidden="1" customWidth="1"/>
    <col min="1270" max="1270" width="5.5703125" style="10" customWidth="1"/>
    <col min="1271" max="1272" width="5.85546875" style="10" customWidth="1"/>
    <col min="1273" max="1273" width="6.28515625" style="10" customWidth="1"/>
    <col min="1274" max="1274" width="6.7109375" style="10" customWidth="1"/>
    <col min="1275" max="1275" width="0" style="10" hidden="1" customWidth="1"/>
    <col min="1276" max="1276" width="11.28515625" style="10" customWidth="1"/>
    <col min="1277" max="1277" width="8" style="10" customWidth="1"/>
    <col min="1278" max="1511" width="9.140625" style="10"/>
    <col min="1512" max="1512" width="17.42578125" style="10" customWidth="1"/>
    <col min="1513" max="1516" width="6.5703125" style="10" customWidth="1"/>
    <col min="1517" max="1517" width="6.7109375" style="10" customWidth="1"/>
    <col min="1518" max="1524" width="6.5703125" style="10" customWidth="1"/>
    <col min="1525" max="1525" width="0" style="10" hidden="1" customWidth="1"/>
    <col min="1526" max="1526" width="5.5703125" style="10" customWidth="1"/>
    <col min="1527" max="1528" width="5.85546875" style="10" customWidth="1"/>
    <col min="1529" max="1529" width="6.28515625" style="10" customWidth="1"/>
    <col min="1530" max="1530" width="6.7109375" style="10" customWidth="1"/>
    <col min="1531" max="1531" width="0" style="10" hidden="1" customWidth="1"/>
    <col min="1532" max="1532" width="11.28515625" style="10" customWidth="1"/>
    <col min="1533" max="1533" width="8" style="10" customWidth="1"/>
    <col min="1534" max="1767" width="9.140625" style="10"/>
    <col min="1768" max="1768" width="17.42578125" style="10" customWidth="1"/>
    <col min="1769" max="1772" width="6.5703125" style="10" customWidth="1"/>
    <col min="1773" max="1773" width="6.7109375" style="10" customWidth="1"/>
    <col min="1774" max="1780" width="6.5703125" style="10" customWidth="1"/>
    <col min="1781" max="1781" width="0" style="10" hidden="1" customWidth="1"/>
    <col min="1782" max="1782" width="5.5703125" style="10" customWidth="1"/>
    <col min="1783" max="1784" width="5.85546875" style="10" customWidth="1"/>
    <col min="1785" max="1785" width="6.28515625" style="10" customWidth="1"/>
    <col min="1786" max="1786" width="6.7109375" style="10" customWidth="1"/>
    <col min="1787" max="1787" width="0" style="10" hidden="1" customWidth="1"/>
    <col min="1788" max="1788" width="11.28515625" style="10" customWidth="1"/>
    <col min="1789" max="1789" width="8" style="10" customWidth="1"/>
    <col min="1790" max="2023" width="9.140625" style="10"/>
    <col min="2024" max="2024" width="17.42578125" style="10" customWidth="1"/>
    <col min="2025" max="2028" width="6.5703125" style="10" customWidth="1"/>
    <col min="2029" max="2029" width="6.7109375" style="10" customWidth="1"/>
    <col min="2030" max="2036" width="6.5703125" style="10" customWidth="1"/>
    <col min="2037" max="2037" width="0" style="10" hidden="1" customWidth="1"/>
    <col min="2038" max="2038" width="5.5703125" style="10" customWidth="1"/>
    <col min="2039" max="2040" width="5.85546875" style="10" customWidth="1"/>
    <col min="2041" max="2041" width="6.28515625" style="10" customWidth="1"/>
    <col min="2042" max="2042" width="6.7109375" style="10" customWidth="1"/>
    <col min="2043" max="2043" width="0" style="10" hidden="1" customWidth="1"/>
    <col min="2044" max="2044" width="11.28515625" style="10" customWidth="1"/>
    <col min="2045" max="2045" width="8" style="10" customWidth="1"/>
    <col min="2046" max="2279" width="9.140625" style="10"/>
    <col min="2280" max="2280" width="17.42578125" style="10" customWidth="1"/>
    <col min="2281" max="2284" width="6.5703125" style="10" customWidth="1"/>
    <col min="2285" max="2285" width="6.7109375" style="10" customWidth="1"/>
    <col min="2286" max="2292" width="6.5703125" style="10" customWidth="1"/>
    <col min="2293" max="2293" width="0" style="10" hidden="1" customWidth="1"/>
    <col min="2294" max="2294" width="5.5703125" style="10" customWidth="1"/>
    <col min="2295" max="2296" width="5.85546875" style="10" customWidth="1"/>
    <col min="2297" max="2297" width="6.28515625" style="10" customWidth="1"/>
    <col min="2298" max="2298" width="6.7109375" style="10" customWidth="1"/>
    <col min="2299" max="2299" width="0" style="10" hidden="1" customWidth="1"/>
    <col min="2300" max="2300" width="11.28515625" style="10" customWidth="1"/>
    <col min="2301" max="2301" width="8" style="10" customWidth="1"/>
    <col min="2302" max="2535" width="9.140625" style="10"/>
    <col min="2536" max="2536" width="17.42578125" style="10" customWidth="1"/>
    <col min="2537" max="2540" width="6.5703125" style="10" customWidth="1"/>
    <col min="2541" max="2541" width="6.7109375" style="10" customWidth="1"/>
    <col min="2542" max="2548" width="6.5703125" style="10" customWidth="1"/>
    <col min="2549" max="2549" width="0" style="10" hidden="1" customWidth="1"/>
    <col min="2550" max="2550" width="5.5703125" style="10" customWidth="1"/>
    <col min="2551" max="2552" width="5.85546875" style="10" customWidth="1"/>
    <col min="2553" max="2553" width="6.28515625" style="10" customWidth="1"/>
    <col min="2554" max="2554" width="6.7109375" style="10" customWidth="1"/>
    <col min="2555" max="2555" width="0" style="10" hidden="1" customWidth="1"/>
    <col min="2556" max="2556" width="11.28515625" style="10" customWidth="1"/>
    <col min="2557" max="2557" width="8" style="10" customWidth="1"/>
    <col min="2558" max="2791" width="9.140625" style="10"/>
    <col min="2792" max="2792" width="17.42578125" style="10" customWidth="1"/>
    <col min="2793" max="2796" width="6.5703125" style="10" customWidth="1"/>
    <col min="2797" max="2797" width="6.7109375" style="10" customWidth="1"/>
    <col min="2798" max="2804" width="6.5703125" style="10" customWidth="1"/>
    <col min="2805" max="2805" width="0" style="10" hidden="1" customWidth="1"/>
    <col min="2806" max="2806" width="5.5703125" style="10" customWidth="1"/>
    <col min="2807" max="2808" width="5.85546875" style="10" customWidth="1"/>
    <col min="2809" max="2809" width="6.28515625" style="10" customWidth="1"/>
    <col min="2810" max="2810" width="6.7109375" style="10" customWidth="1"/>
    <col min="2811" max="2811" width="0" style="10" hidden="1" customWidth="1"/>
    <col min="2812" max="2812" width="11.28515625" style="10" customWidth="1"/>
    <col min="2813" max="2813" width="8" style="10" customWidth="1"/>
    <col min="2814" max="3047" width="9.140625" style="10"/>
    <col min="3048" max="3048" width="17.42578125" style="10" customWidth="1"/>
    <col min="3049" max="3052" width="6.5703125" style="10" customWidth="1"/>
    <col min="3053" max="3053" width="6.7109375" style="10" customWidth="1"/>
    <col min="3054" max="3060" width="6.5703125" style="10" customWidth="1"/>
    <col min="3061" max="3061" width="0" style="10" hidden="1" customWidth="1"/>
    <col min="3062" max="3062" width="5.5703125" style="10" customWidth="1"/>
    <col min="3063" max="3064" width="5.85546875" style="10" customWidth="1"/>
    <col min="3065" max="3065" width="6.28515625" style="10" customWidth="1"/>
    <col min="3066" max="3066" width="6.7109375" style="10" customWidth="1"/>
    <col min="3067" max="3067" width="0" style="10" hidden="1" customWidth="1"/>
    <col min="3068" max="3068" width="11.28515625" style="10" customWidth="1"/>
    <col min="3069" max="3069" width="8" style="10" customWidth="1"/>
    <col min="3070" max="3303" width="9.140625" style="10"/>
    <col min="3304" max="3304" width="17.42578125" style="10" customWidth="1"/>
    <col min="3305" max="3308" width="6.5703125" style="10" customWidth="1"/>
    <col min="3309" max="3309" width="6.7109375" style="10" customWidth="1"/>
    <col min="3310" max="3316" width="6.5703125" style="10" customWidth="1"/>
    <col min="3317" max="3317" width="0" style="10" hidden="1" customWidth="1"/>
    <col min="3318" max="3318" width="5.5703125" style="10" customWidth="1"/>
    <col min="3319" max="3320" width="5.85546875" style="10" customWidth="1"/>
    <col min="3321" max="3321" width="6.28515625" style="10" customWidth="1"/>
    <col min="3322" max="3322" width="6.7109375" style="10" customWidth="1"/>
    <col min="3323" max="3323" width="0" style="10" hidden="1" customWidth="1"/>
    <col min="3324" max="3324" width="11.28515625" style="10" customWidth="1"/>
    <col min="3325" max="3325" width="8" style="10" customWidth="1"/>
    <col min="3326" max="3559" width="9.140625" style="10"/>
    <col min="3560" max="3560" width="17.42578125" style="10" customWidth="1"/>
    <col min="3561" max="3564" width="6.5703125" style="10" customWidth="1"/>
    <col min="3565" max="3565" width="6.7109375" style="10" customWidth="1"/>
    <col min="3566" max="3572" width="6.5703125" style="10" customWidth="1"/>
    <col min="3573" max="3573" width="0" style="10" hidden="1" customWidth="1"/>
    <col min="3574" max="3574" width="5.5703125" style="10" customWidth="1"/>
    <col min="3575" max="3576" width="5.85546875" style="10" customWidth="1"/>
    <col min="3577" max="3577" width="6.28515625" style="10" customWidth="1"/>
    <col min="3578" max="3578" width="6.7109375" style="10" customWidth="1"/>
    <col min="3579" max="3579" width="0" style="10" hidden="1" customWidth="1"/>
    <col min="3580" max="3580" width="11.28515625" style="10" customWidth="1"/>
    <col min="3581" max="3581" width="8" style="10" customWidth="1"/>
    <col min="3582" max="3815" width="9.140625" style="10"/>
    <col min="3816" max="3816" width="17.42578125" style="10" customWidth="1"/>
    <col min="3817" max="3820" width="6.5703125" style="10" customWidth="1"/>
    <col min="3821" max="3821" width="6.7109375" style="10" customWidth="1"/>
    <col min="3822" max="3828" width="6.5703125" style="10" customWidth="1"/>
    <col min="3829" max="3829" width="0" style="10" hidden="1" customWidth="1"/>
    <col min="3830" max="3830" width="5.5703125" style="10" customWidth="1"/>
    <col min="3831" max="3832" width="5.85546875" style="10" customWidth="1"/>
    <col min="3833" max="3833" width="6.28515625" style="10" customWidth="1"/>
    <col min="3834" max="3834" width="6.7109375" style="10" customWidth="1"/>
    <col min="3835" max="3835" width="0" style="10" hidden="1" customWidth="1"/>
    <col min="3836" max="3836" width="11.28515625" style="10" customWidth="1"/>
    <col min="3837" max="3837" width="8" style="10" customWidth="1"/>
    <col min="3838" max="4071" width="9.140625" style="10"/>
    <col min="4072" max="4072" width="17.42578125" style="10" customWidth="1"/>
    <col min="4073" max="4076" width="6.5703125" style="10" customWidth="1"/>
    <col min="4077" max="4077" width="6.7109375" style="10" customWidth="1"/>
    <col min="4078" max="4084" width="6.5703125" style="10" customWidth="1"/>
    <col min="4085" max="4085" width="0" style="10" hidden="1" customWidth="1"/>
    <col min="4086" max="4086" width="5.5703125" style="10" customWidth="1"/>
    <col min="4087" max="4088" width="5.85546875" style="10" customWidth="1"/>
    <col min="4089" max="4089" width="6.28515625" style="10" customWidth="1"/>
    <col min="4090" max="4090" width="6.7109375" style="10" customWidth="1"/>
    <col min="4091" max="4091" width="0" style="10" hidden="1" customWidth="1"/>
    <col min="4092" max="4092" width="11.28515625" style="10" customWidth="1"/>
    <col min="4093" max="4093" width="8" style="10" customWidth="1"/>
    <col min="4094" max="4327" width="9.140625" style="10"/>
    <col min="4328" max="4328" width="17.42578125" style="10" customWidth="1"/>
    <col min="4329" max="4332" width="6.5703125" style="10" customWidth="1"/>
    <col min="4333" max="4333" width="6.7109375" style="10" customWidth="1"/>
    <col min="4334" max="4340" width="6.5703125" style="10" customWidth="1"/>
    <col min="4341" max="4341" width="0" style="10" hidden="1" customWidth="1"/>
    <col min="4342" max="4342" width="5.5703125" style="10" customWidth="1"/>
    <col min="4343" max="4344" width="5.85546875" style="10" customWidth="1"/>
    <col min="4345" max="4345" width="6.28515625" style="10" customWidth="1"/>
    <col min="4346" max="4346" width="6.7109375" style="10" customWidth="1"/>
    <col min="4347" max="4347" width="0" style="10" hidden="1" customWidth="1"/>
    <col min="4348" max="4348" width="11.28515625" style="10" customWidth="1"/>
    <col min="4349" max="4349" width="8" style="10" customWidth="1"/>
    <col min="4350" max="4583" width="9.140625" style="10"/>
    <col min="4584" max="4584" width="17.42578125" style="10" customWidth="1"/>
    <col min="4585" max="4588" width="6.5703125" style="10" customWidth="1"/>
    <col min="4589" max="4589" width="6.7109375" style="10" customWidth="1"/>
    <col min="4590" max="4596" width="6.5703125" style="10" customWidth="1"/>
    <col min="4597" max="4597" width="0" style="10" hidden="1" customWidth="1"/>
    <col min="4598" max="4598" width="5.5703125" style="10" customWidth="1"/>
    <col min="4599" max="4600" width="5.85546875" style="10" customWidth="1"/>
    <col min="4601" max="4601" width="6.28515625" style="10" customWidth="1"/>
    <col min="4602" max="4602" width="6.7109375" style="10" customWidth="1"/>
    <col min="4603" max="4603" width="0" style="10" hidden="1" customWidth="1"/>
    <col min="4604" max="4604" width="11.28515625" style="10" customWidth="1"/>
    <col min="4605" max="4605" width="8" style="10" customWidth="1"/>
    <col min="4606" max="4839" width="9.140625" style="10"/>
    <col min="4840" max="4840" width="17.42578125" style="10" customWidth="1"/>
    <col min="4841" max="4844" width="6.5703125" style="10" customWidth="1"/>
    <col min="4845" max="4845" width="6.7109375" style="10" customWidth="1"/>
    <col min="4846" max="4852" width="6.5703125" style="10" customWidth="1"/>
    <col min="4853" max="4853" width="0" style="10" hidden="1" customWidth="1"/>
    <col min="4854" max="4854" width="5.5703125" style="10" customWidth="1"/>
    <col min="4855" max="4856" width="5.85546875" style="10" customWidth="1"/>
    <col min="4857" max="4857" width="6.28515625" style="10" customWidth="1"/>
    <col min="4858" max="4858" width="6.7109375" style="10" customWidth="1"/>
    <col min="4859" max="4859" width="0" style="10" hidden="1" customWidth="1"/>
    <col min="4860" max="4860" width="11.28515625" style="10" customWidth="1"/>
    <col min="4861" max="4861" width="8" style="10" customWidth="1"/>
    <col min="4862" max="5095" width="9.140625" style="10"/>
    <col min="5096" max="5096" width="17.42578125" style="10" customWidth="1"/>
    <col min="5097" max="5100" width="6.5703125" style="10" customWidth="1"/>
    <col min="5101" max="5101" width="6.7109375" style="10" customWidth="1"/>
    <col min="5102" max="5108" width="6.5703125" style="10" customWidth="1"/>
    <col min="5109" max="5109" width="0" style="10" hidden="1" customWidth="1"/>
    <col min="5110" max="5110" width="5.5703125" style="10" customWidth="1"/>
    <col min="5111" max="5112" width="5.85546875" style="10" customWidth="1"/>
    <col min="5113" max="5113" width="6.28515625" style="10" customWidth="1"/>
    <col min="5114" max="5114" width="6.7109375" style="10" customWidth="1"/>
    <col min="5115" max="5115" width="0" style="10" hidden="1" customWidth="1"/>
    <col min="5116" max="5116" width="11.28515625" style="10" customWidth="1"/>
    <col min="5117" max="5117" width="8" style="10" customWidth="1"/>
    <col min="5118" max="5351" width="9.140625" style="10"/>
    <col min="5352" max="5352" width="17.42578125" style="10" customWidth="1"/>
    <col min="5353" max="5356" width="6.5703125" style="10" customWidth="1"/>
    <col min="5357" max="5357" width="6.7109375" style="10" customWidth="1"/>
    <col min="5358" max="5364" width="6.5703125" style="10" customWidth="1"/>
    <col min="5365" max="5365" width="0" style="10" hidden="1" customWidth="1"/>
    <col min="5366" max="5366" width="5.5703125" style="10" customWidth="1"/>
    <col min="5367" max="5368" width="5.85546875" style="10" customWidth="1"/>
    <col min="5369" max="5369" width="6.28515625" style="10" customWidth="1"/>
    <col min="5370" max="5370" width="6.7109375" style="10" customWidth="1"/>
    <col min="5371" max="5371" width="0" style="10" hidden="1" customWidth="1"/>
    <col min="5372" max="5372" width="11.28515625" style="10" customWidth="1"/>
    <col min="5373" max="5373" width="8" style="10" customWidth="1"/>
    <col min="5374" max="5607" width="9.140625" style="10"/>
    <col min="5608" max="5608" width="17.42578125" style="10" customWidth="1"/>
    <col min="5609" max="5612" width="6.5703125" style="10" customWidth="1"/>
    <col min="5613" max="5613" width="6.7109375" style="10" customWidth="1"/>
    <col min="5614" max="5620" width="6.5703125" style="10" customWidth="1"/>
    <col min="5621" max="5621" width="0" style="10" hidden="1" customWidth="1"/>
    <col min="5622" max="5622" width="5.5703125" style="10" customWidth="1"/>
    <col min="5623" max="5624" width="5.85546875" style="10" customWidth="1"/>
    <col min="5625" max="5625" width="6.28515625" style="10" customWidth="1"/>
    <col min="5626" max="5626" width="6.7109375" style="10" customWidth="1"/>
    <col min="5627" max="5627" width="0" style="10" hidden="1" customWidth="1"/>
    <col min="5628" max="5628" width="11.28515625" style="10" customWidth="1"/>
    <col min="5629" max="5629" width="8" style="10" customWidth="1"/>
    <col min="5630" max="5863" width="9.140625" style="10"/>
    <col min="5864" max="5864" width="17.42578125" style="10" customWidth="1"/>
    <col min="5865" max="5868" width="6.5703125" style="10" customWidth="1"/>
    <col min="5869" max="5869" width="6.7109375" style="10" customWidth="1"/>
    <col min="5870" max="5876" width="6.5703125" style="10" customWidth="1"/>
    <col min="5877" max="5877" width="0" style="10" hidden="1" customWidth="1"/>
    <col min="5878" max="5878" width="5.5703125" style="10" customWidth="1"/>
    <col min="5879" max="5880" width="5.85546875" style="10" customWidth="1"/>
    <col min="5881" max="5881" width="6.28515625" style="10" customWidth="1"/>
    <col min="5882" max="5882" width="6.7109375" style="10" customWidth="1"/>
    <col min="5883" max="5883" width="0" style="10" hidden="1" customWidth="1"/>
    <col min="5884" max="5884" width="11.28515625" style="10" customWidth="1"/>
    <col min="5885" max="5885" width="8" style="10" customWidth="1"/>
    <col min="5886" max="6119" width="9.140625" style="10"/>
    <col min="6120" max="6120" width="17.42578125" style="10" customWidth="1"/>
    <col min="6121" max="6124" width="6.5703125" style="10" customWidth="1"/>
    <col min="6125" max="6125" width="6.7109375" style="10" customWidth="1"/>
    <col min="6126" max="6132" width="6.5703125" style="10" customWidth="1"/>
    <col min="6133" max="6133" width="0" style="10" hidden="1" customWidth="1"/>
    <col min="6134" max="6134" width="5.5703125" style="10" customWidth="1"/>
    <col min="6135" max="6136" width="5.85546875" style="10" customWidth="1"/>
    <col min="6137" max="6137" width="6.28515625" style="10" customWidth="1"/>
    <col min="6138" max="6138" width="6.7109375" style="10" customWidth="1"/>
    <col min="6139" max="6139" width="0" style="10" hidden="1" customWidth="1"/>
    <col min="6140" max="6140" width="11.28515625" style="10" customWidth="1"/>
    <col min="6141" max="6141" width="8" style="10" customWidth="1"/>
    <col min="6142" max="6375" width="9.140625" style="10"/>
    <col min="6376" max="6376" width="17.42578125" style="10" customWidth="1"/>
    <col min="6377" max="6380" width="6.5703125" style="10" customWidth="1"/>
    <col min="6381" max="6381" width="6.7109375" style="10" customWidth="1"/>
    <col min="6382" max="6388" width="6.5703125" style="10" customWidth="1"/>
    <col min="6389" max="6389" width="0" style="10" hidden="1" customWidth="1"/>
    <col min="6390" max="6390" width="5.5703125" style="10" customWidth="1"/>
    <col min="6391" max="6392" width="5.85546875" style="10" customWidth="1"/>
    <col min="6393" max="6393" width="6.28515625" style="10" customWidth="1"/>
    <col min="6394" max="6394" width="6.7109375" style="10" customWidth="1"/>
    <col min="6395" max="6395" width="0" style="10" hidden="1" customWidth="1"/>
    <col min="6396" max="6396" width="11.28515625" style="10" customWidth="1"/>
    <col min="6397" max="6397" width="8" style="10" customWidth="1"/>
    <col min="6398" max="6631" width="9.140625" style="10"/>
    <col min="6632" max="6632" width="17.42578125" style="10" customWidth="1"/>
    <col min="6633" max="6636" width="6.5703125" style="10" customWidth="1"/>
    <col min="6637" max="6637" width="6.7109375" style="10" customWidth="1"/>
    <col min="6638" max="6644" width="6.5703125" style="10" customWidth="1"/>
    <col min="6645" max="6645" width="0" style="10" hidden="1" customWidth="1"/>
    <col min="6646" max="6646" width="5.5703125" style="10" customWidth="1"/>
    <col min="6647" max="6648" width="5.85546875" style="10" customWidth="1"/>
    <col min="6649" max="6649" width="6.28515625" style="10" customWidth="1"/>
    <col min="6650" max="6650" width="6.7109375" style="10" customWidth="1"/>
    <col min="6651" max="6651" width="0" style="10" hidden="1" customWidth="1"/>
    <col min="6652" max="6652" width="11.28515625" style="10" customWidth="1"/>
    <col min="6653" max="6653" width="8" style="10" customWidth="1"/>
    <col min="6654" max="6887" width="9.140625" style="10"/>
    <col min="6888" max="6888" width="17.42578125" style="10" customWidth="1"/>
    <col min="6889" max="6892" width="6.5703125" style="10" customWidth="1"/>
    <col min="6893" max="6893" width="6.7109375" style="10" customWidth="1"/>
    <col min="6894" max="6900" width="6.5703125" style="10" customWidth="1"/>
    <col min="6901" max="6901" width="0" style="10" hidden="1" customWidth="1"/>
    <col min="6902" max="6902" width="5.5703125" style="10" customWidth="1"/>
    <col min="6903" max="6904" width="5.85546875" style="10" customWidth="1"/>
    <col min="6905" max="6905" width="6.28515625" style="10" customWidth="1"/>
    <col min="6906" max="6906" width="6.7109375" style="10" customWidth="1"/>
    <col min="6907" max="6907" width="0" style="10" hidden="1" customWidth="1"/>
    <col min="6908" max="6908" width="11.28515625" style="10" customWidth="1"/>
    <col min="6909" max="6909" width="8" style="10" customWidth="1"/>
    <col min="6910" max="7143" width="9.140625" style="10"/>
    <col min="7144" max="7144" width="17.42578125" style="10" customWidth="1"/>
    <col min="7145" max="7148" width="6.5703125" style="10" customWidth="1"/>
    <col min="7149" max="7149" width="6.7109375" style="10" customWidth="1"/>
    <col min="7150" max="7156" width="6.5703125" style="10" customWidth="1"/>
    <col min="7157" max="7157" width="0" style="10" hidden="1" customWidth="1"/>
    <col min="7158" max="7158" width="5.5703125" style="10" customWidth="1"/>
    <col min="7159" max="7160" width="5.85546875" style="10" customWidth="1"/>
    <col min="7161" max="7161" width="6.28515625" style="10" customWidth="1"/>
    <col min="7162" max="7162" width="6.7109375" style="10" customWidth="1"/>
    <col min="7163" max="7163" width="0" style="10" hidden="1" customWidth="1"/>
    <col min="7164" max="7164" width="11.28515625" style="10" customWidth="1"/>
    <col min="7165" max="7165" width="8" style="10" customWidth="1"/>
    <col min="7166" max="7399" width="9.140625" style="10"/>
    <col min="7400" max="7400" width="17.42578125" style="10" customWidth="1"/>
    <col min="7401" max="7404" width="6.5703125" style="10" customWidth="1"/>
    <col min="7405" max="7405" width="6.7109375" style="10" customWidth="1"/>
    <col min="7406" max="7412" width="6.5703125" style="10" customWidth="1"/>
    <col min="7413" max="7413" width="0" style="10" hidden="1" customWidth="1"/>
    <col min="7414" max="7414" width="5.5703125" style="10" customWidth="1"/>
    <col min="7415" max="7416" width="5.85546875" style="10" customWidth="1"/>
    <col min="7417" max="7417" width="6.28515625" style="10" customWidth="1"/>
    <col min="7418" max="7418" width="6.7109375" style="10" customWidth="1"/>
    <col min="7419" max="7419" width="0" style="10" hidden="1" customWidth="1"/>
    <col min="7420" max="7420" width="11.28515625" style="10" customWidth="1"/>
    <col min="7421" max="7421" width="8" style="10" customWidth="1"/>
    <col min="7422" max="7655" width="9.140625" style="10"/>
    <col min="7656" max="7656" width="17.42578125" style="10" customWidth="1"/>
    <col min="7657" max="7660" width="6.5703125" style="10" customWidth="1"/>
    <col min="7661" max="7661" width="6.7109375" style="10" customWidth="1"/>
    <col min="7662" max="7668" width="6.5703125" style="10" customWidth="1"/>
    <col min="7669" max="7669" width="0" style="10" hidden="1" customWidth="1"/>
    <col min="7670" max="7670" width="5.5703125" style="10" customWidth="1"/>
    <col min="7671" max="7672" width="5.85546875" style="10" customWidth="1"/>
    <col min="7673" max="7673" width="6.28515625" style="10" customWidth="1"/>
    <col min="7674" max="7674" width="6.7109375" style="10" customWidth="1"/>
    <col min="7675" max="7675" width="0" style="10" hidden="1" customWidth="1"/>
    <col min="7676" max="7676" width="11.28515625" style="10" customWidth="1"/>
    <col min="7677" max="7677" width="8" style="10" customWidth="1"/>
    <col min="7678" max="7911" width="9.140625" style="10"/>
    <col min="7912" max="7912" width="17.42578125" style="10" customWidth="1"/>
    <col min="7913" max="7916" width="6.5703125" style="10" customWidth="1"/>
    <col min="7917" max="7917" width="6.7109375" style="10" customWidth="1"/>
    <col min="7918" max="7924" width="6.5703125" style="10" customWidth="1"/>
    <col min="7925" max="7925" width="0" style="10" hidden="1" customWidth="1"/>
    <col min="7926" max="7926" width="5.5703125" style="10" customWidth="1"/>
    <col min="7927" max="7928" width="5.85546875" style="10" customWidth="1"/>
    <col min="7929" max="7929" width="6.28515625" style="10" customWidth="1"/>
    <col min="7930" max="7930" width="6.7109375" style="10" customWidth="1"/>
    <col min="7931" max="7931" width="0" style="10" hidden="1" customWidth="1"/>
    <col min="7932" max="7932" width="11.28515625" style="10" customWidth="1"/>
    <col min="7933" max="7933" width="8" style="10" customWidth="1"/>
    <col min="7934" max="8167" width="9.140625" style="10"/>
    <col min="8168" max="8168" width="17.42578125" style="10" customWidth="1"/>
    <col min="8169" max="8172" width="6.5703125" style="10" customWidth="1"/>
    <col min="8173" max="8173" width="6.7109375" style="10" customWidth="1"/>
    <col min="8174" max="8180" width="6.5703125" style="10" customWidth="1"/>
    <col min="8181" max="8181" width="0" style="10" hidden="1" customWidth="1"/>
    <col min="8182" max="8182" width="5.5703125" style="10" customWidth="1"/>
    <col min="8183" max="8184" width="5.85546875" style="10" customWidth="1"/>
    <col min="8185" max="8185" width="6.28515625" style="10" customWidth="1"/>
    <col min="8186" max="8186" width="6.7109375" style="10" customWidth="1"/>
    <col min="8187" max="8187" width="0" style="10" hidden="1" customWidth="1"/>
    <col min="8188" max="8188" width="11.28515625" style="10" customWidth="1"/>
    <col min="8189" max="8189" width="8" style="10" customWidth="1"/>
    <col min="8190" max="8423" width="9.140625" style="10"/>
    <col min="8424" max="8424" width="17.42578125" style="10" customWidth="1"/>
    <col min="8425" max="8428" width="6.5703125" style="10" customWidth="1"/>
    <col min="8429" max="8429" width="6.7109375" style="10" customWidth="1"/>
    <col min="8430" max="8436" width="6.5703125" style="10" customWidth="1"/>
    <col min="8437" max="8437" width="0" style="10" hidden="1" customWidth="1"/>
    <col min="8438" max="8438" width="5.5703125" style="10" customWidth="1"/>
    <col min="8439" max="8440" width="5.85546875" style="10" customWidth="1"/>
    <col min="8441" max="8441" width="6.28515625" style="10" customWidth="1"/>
    <col min="8442" max="8442" width="6.7109375" style="10" customWidth="1"/>
    <col min="8443" max="8443" width="0" style="10" hidden="1" customWidth="1"/>
    <col min="8444" max="8444" width="11.28515625" style="10" customWidth="1"/>
    <col min="8445" max="8445" width="8" style="10" customWidth="1"/>
    <col min="8446" max="8679" width="9.140625" style="10"/>
    <col min="8680" max="8680" width="17.42578125" style="10" customWidth="1"/>
    <col min="8681" max="8684" width="6.5703125" style="10" customWidth="1"/>
    <col min="8685" max="8685" width="6.7109375" style="10" customWidth="1"/>
    <col min="8686" max="8692" width="6.5703125" style="10" customWidth="1"/>
    <col min="8693" max="8693" width="0" style="10" hidden="1" customWidth="1"/>
    <col min="8694" max="8694" width="5.5703125" style="10" customWidth="1"/>
    <col min="8695" max="8696" width="5.85546875" style="10" customWidth="1"/>
    <col min="8697" max="8697" width="6.28515625" style="10" customWidth="1"/>
    <col min="8698" max="8698" width="6.7109375" style="10" customWidth="1"/>
    <col min="8699" max="8699" width="0" style="10" hidden="1" customWidth="1"/>
    <col min="8700" max="8700" width="11.28515625" style="10" customWidth="1"/>
    <col min="8701" max="8701" width="8" style="10" customWidth="1"/>
    <col min="8702" max="8935" width="9.140625" style="10"/>
    <col min="8936" max="8936" width="17.42578125" style="10" customWidth="1"/>
    <col min="8937" max="8940" width="6.5703125" style="10" customWidth="1"/>
    <col min="8941" max="8941" width="6.7109375" style="10" customWidth="1"/>
    <col min="8942" max="8948" width="6.5703125" style="10" customWidth="1"/>
    <col min="8949" max="8949" width="0" style="10" hidden="1" customWidth="1"/>
    <col min="8950" max="8950" width="5.5703125" style="10" customWidth="1"/>
    <col min="8951" max="8952" width="5.85546875" style="10" customWidth="1"/>
    <col min="8953" max="8953" width="6.28515625" style="10" customWidth="1"/>
    <col min="8954" max="8954" width="6.7109375" style="10" customWidth="1"/>
    <col min="8955" max="8955" width="0" style="10" hidden="1" customWidth="1"/>
    <col min="8956" max="8956" width="11.28515625" style="10" customWidth="1"/>
    <col min="8957" max="8957" width="8" style="10" customWidth="1"/>
    <col min="8958" max="9191" width="9.140625" style="10"/>
    <col min="9192" max="9192" width="17.42578125" style="10" customWidth="1"/>
    <col min="9193" max="9196" width="6.5703125" style="10" customWidth="1"/>
    <col min="9197" max="9197" width="6.7109375" style="10" customWidth="1"/>
    <col min="9198" max="9204" width="6.5703125" style="10" customWidth="1"/>
    <col min="9205" max="9205" width="0" style="10" hidden="1" customWidth="1"/>
    <col min="9206" max="9206" width="5.5703125" style="10" customWidth="1"/>
    <col min="9207" max="9208" width="5.85546875" style="10" customWidth="1"/>
    <col min="9209" max="9209" width="6.28515625" style="10" customWidth="1"/>
    <col min="9210" max="9210" width="6.7109375" style="10" customWidth="1"/>
    <col min="9211" max="9211" width="0" style="10" hidden="1" customWidth="1"/>
    <col min="9212" max="9212" width="11.28515625" style="10" customWidth="1"/>
    <col min="9213" max="9213" width="8" style="10" customWidth="1"/>
    <col min="9214" max="9447" width="9.140625" style="10"/>
    <col min="9448" max="9448" width="17.42578125" style="10" customWidth="1"/>
    <col min="9449" max="9452" width="6.5703125" style="10" customWidth="1"/>
    <col min="9453" max="9453" width="6.7109375" style="10" customWidth="1"/>
    <col min="9454" max="9460" width="6.5703125" style="10" customWidth="1"/>
    <col min="9461" max="9461" width="0" style="10" hidden="1" customWidth="1"/>
    <col min="9462" max="9462" width="5.5703125" style="10" customWidth="1"/>
    <col min="9463" max="9464" width="5.85546875" style="10" customWidth="1"/>
    <col min="9465" max="9465" width="6.28515625" style="10" customWidth="1"/>
    <col min="9466" max="9466" width="6.7109375" style="10" customWidth="1"/>
    <col min="9467" max="9467" width="0" style="10" hidden="1" customWidth="1"/>
    <col min="9468" max="9468" width="11.28515625" style="10" customWidth="1"/>
    <col min="9469" max="9469" width="8" style="10" customWidth="1"/>
    <col min="9470" max="9703" width="9.140625" style="10"/>
    <col min="9704" max="9704" width="17.42578125" style="10" customWidth="1"/>
    <col min="9705" max="9708" width="6.5703125" style="10" customWidth="1"/>
    <col min="9709" max="9709" width="6.7109375" style="10" customWidth="1"/>
    <col min="9710" max="9716" width="6.5703125" style="10" customWidth="1"/>
    <col min="9717" max="9717" width="0" style="10" hidden="1" customWidth="1"/>
    <col min="9718" max="9718" width="5.5703125" style="10" customWidth="1"/>
    <col min="9719" max="9720" width="5.85546875" style="10" customWidth="1"/>
    <col min="9721" max="9721" width="6.28515625" style="10" customWidth="1"/>
    <col min="9722" max="9722" width="6.7109375" style="10" customWidth="1"/>
    <col min="9723" max="9723" width="0" style="10" hidden="1" customWidth="1"/>
    <col min="9724" max="9724" width="11.28515625" style="10" customWidth="1"/>
    <col min="9725" max="9725" width="8" style="10" customWidth="1"/>
    <col min="9726" max="9959" width="9.140625" style="10"/>
    <col min="9960" max="9960" width="17.42578125" style="10" customWidth="1"/>
    <col min="9961" max="9964" width="6.5703125" style="10" customWidth="1"/>
    <col min="9965" max="9965" width="6.7109375" style="10" customWidth="1"/>
    <col min="9966" max="9972" width="6.5703125" style="10" customWidth="1"/>
    <col min="9973" max="9973" width="0" style="10" hidden="1" customWidth="1"/>
    <col min="9974" max="9974" width="5.5703125" style="10" customWidth="1"/>
    <col min="9975" max="9976" width="5.85546875" style="10" customWidth="1"/>
    <col min="9977" max="9977" width="6.28515625" style="10" customWidth="1"/>
    <col min="9978" max="9978" width="6.7109375" style="10" customWidth="1"/>
    <col min="9979" max="9979" width="0" style="10" hidden="1" customWidth="1"/>
    <col min="9980" max="9980" width="11.28515625" style="10" customWidth="1"/>
    <col min="9981" max="9981" width="8" style="10" customWidth="1"/>
    <col min="9982" max="10215" width="9.140625" style="10"/>
    <col min="10216" max="10216" width="17.42578125" style="10" customWidth="1"/>
    <col min="10217" max="10220" width="6.5703125" style="10" customWidth="1"/>
    <col min="10221" max="10221" width="6.7109375" style="10" customWidth="1"/>
    <col min="10222" max="10228" width="6.5703125" style="10" customWidth="1"/>
    <col min="10229" max="10229" width="0" style="10" hidden="1" customWidth="1"/>
    <col min="10230" max="10230" width="5.5703125" style="10" customWidth="1"/>
    <col min="10231" max="10232" width="5.85546875" style="10" customWidth="1"/>
    <col min="10233" max="10233" width="6.28515625" style="10" customWidth="1"/>
    <col min="10234" max="10234" width="6.7109375" style="10" customWidth="1"/>
    <col min="10235" max="10235" width="0" style="10" hidden="1" customWidth="1"/>
    <col min="10236" max="10236" width="11.28515625" style="10" customWidth="1"/>
    <col min="10237" max="10237" width="8" style="10" customWidth="1"/>
    <col min="10238" max="10471" width="9.140625" style="10"/>
    <col min="10472" max="10472" width="17.42578125" style="10" customWidth="1"/>
    <col min="10473" max="10476" width="6.5703125" style="10" customWidth="1"/>
    <col min="10477" max="10477" width="6.7109375" style="10" customWidth="1"/>
    <col min="10478" max="10484" width="6.5703125" style="10" customWidth="1"/>
    <col min="10485" max="10485" width="0" style="10" hidden="1" customWidth="1"/>
    <col min="10486" max="10486" width="5.5703125" style="10" customWidth="1"/>
    <col min="10487" max="10488" width="5.85546875" style="10" customWidth="1"/>
    <col min="10489" max="10489" width="6.28515625" style="10" customWidth="1"/>
    <col min="10490" max="10490" width="6.7109375" style="10" customWidth="1"/>
    <col min="10491" max="10491" width="0" style="10" hidden="1" customWidth="1"/>
    <col min="10492" max="10492" width="11.28515625" style="10" customWidth="1"/>
    <col min="10493" max="10493" width="8" style="10" customWidth="1"/>
    <col min="10494" max="10727" width="9.140625" style="10"/>
    <col min="10728" max="10728" width="17.42578125" style="10" customWidth="1"/>
    <col min="10729" max="10732" width="6.5703125" style="10" customWidth="1"/>
    <col min="10733" max="10733" width="6.7109375" style="10" customWidth="1"/>
    <col min="10734" max="10740" width="6.5703125" style="10" customWidth="1"/>
    <col min="10741" max="10741" width="0" style="10" hidden="1" customWidth="1"/>
    <col min="10742" max="10742" width="5.5703125" style="10" customWidth="1"/>
    <col min="10743" max="10744" width="5.85546875" style="10" customWidth="1"/>
    <col min="10745" max="10745" width="6.28515625" style="10" customWidth="1"/>
    <col min="10746" max="10746" width="6.7109375" style="10" customWidth="1"/>
    <col min="10747" max="10747" width="0" style="10" hidden="1" customWidth="1"/>
    <col min="10748" max="10748" width="11.28515625" style="10" customWidth="1"/>
    <col min="10749" max="10749" width="8" style="10" customWidth="1"/>
    <col min="10750" max="10983" width="9.140625" style="10"/>
    <col min="10984" max="10984" width="17.42578125" style="10" customWidth="1"/>
    <col min="10985" max="10988" width="6.5703125" style="10" customWidth="1"/>
    <col min="10989" max="10989" width="6.7109375" style="10" customWidth="1"/>
    <col min="10990" max="10996" width="6.5703125" style="10" customWidth="1"/>
    <col min="10997" max="10997" width="0" style="10" hidden="1" customWidth="1"/>
    <col min="10998" max="10998" width="5.5703125" style="10" customWidth="1"/>
    <col min="10999" max="11000" width="5.85546875" style="10" customWidth="1"/>
    <col min="11001" max="11001" width="6.28515625" style="10" customWidth="1"/>
    <col min="11002" max="11002" width="6.7109375" style="10" customWidth="1"/>
    <col min="11003" max="11003" width="0" style="10" hidden="1" customWidth="1"/>
    <col min="11004" max="11004" width="11.28515625" style="10" customWidth="1"/>
    <col min="11005" max="11005" width="8" style="10" customWidth="1"/>
    <col min="11006" max="11239" width="9.140625" style="10"/>
    <col min="11240" max="11240" width="17.42578125" style="10" customWidth="1"/>
    <col min="11241" max="11244" width="6.5703125" style="10" customWidth="1"/>
    <col min="11245" max="11245" width="6.7109375" style="10" customWidth="1"/>
    <col min="11246" max="11252" width="6.5703125" style="10" customWidth="1"/>
    <col min="11253" max="11253" width="0" style="10" hidden="1" customWidth="1"/>
    <col min="11254" max="11254" width="5.5703125" style="10" customWidth="1"/>
    <col min="11255" max="11256" width="5.85546875" style="10" customWidth="1"/>
    <col min="11257" max="11257" width="6.28515625" style="10" customWidth="1"/>
    <col min="11258" max="11258" width="6.7109375" style="10" customWidth="1"/>
    <col min="11259" max="11259" width="0" style="10" hidden="1" customWidth="1"/>
    <col min="11260" max="11260" width="11.28515625" style="10" customWidth="1"/>
    <col min="11261" max="11261" width="8" style="10" customWidth="1"/>
    <col min="11262" max="11495" width="9.140625" style="10"/>
    <col min="11496" max="11496" width="17.42578125" style="10" customWidth="1"/>
    <col min="11497" max="11500" width="6.5703125" style="10" customWidth="1"/>
    <col min="11501" max="11501" width="6.7109375" style="10" customWidth="1"/>
    <col min="11502" max="11508" width="6.5703125" style="10" customWidth="1"/>
    <col min="11509" max="11509" width="0" style="10" hidden="1" customWidth="1"/>
    <col min="11510" max="11510" width="5.5703125" style="10" customWidth="1"/>
    <col min="11511" max="11512" width="5.85546875" style="10" customWidth="1"/>
    <col min="11513" max="11513" width="6.28515625" style="10" customWidth="1"/>
    <col min="11514" max="11514" width="6.7109375" style="10" customWidth="1"/>
    <col min="11515" max="11515" width="0" style="10" hidden="1" customWidth="1"/>
    <col min="11516" max="11516" width="11.28515625" style="10" customWidth="1"/>
    <col min="11517" max="11517" width="8" style="10" customWidth="1"/>
    <col min="11518" max="11751" width="9.140625" style="10"/>
    <col min="11752" max="11752" width="17.42578125" style="10" customWidth="1"/>
    <col min="11753" max="11756" width="6.5703125" style="10" customWidth="1"/>
    <col min="11757" max="11757" width="6.7109375" style="10" customWidth="1"/>
    <col min="11758" max="11764" width="6.5703125" style="10" customWidth="1"/>
    <col min="11765" max="11765" width="0" style="10" hidden="1" customWidth="1"/>
    <col min="11766" max="11766" width="5.5703125" style="10" customWidth="1"/>
    <col min="11767" max="11768" width="5.85546875" style="10" customWidth="1"/>
    <col min="11769" max="11769" width="6.28515625" style="10" customWidth="1"/>
    <col min="11770" max="11770" width="6.7109375" style="10" customWidth="1"/>
    <col min="11771" max="11771" width="0" style="10" hidden="1" customWidth="1"/>
    <col min="11772" max="11772" width="11.28515625" style="10" customWidth="1"/>
    <col min="11773" max="11773" width="8" style="10" customWidth="1"/>
    <col min="11774" max="12007" width="9.140625" style="10"/>
    <col min="12008" max="12008" width="17.42578125" style="10" customWidth="1"/>
    <col min="12009" max="12012" width="6.5703125" style="10" customWidth="1"/>
    <col min="12013" max="12013" width="6.7109375" style="10" customWidth="1"/>
    <col min="12014" max="12020" width="6.5703125" style="10" customWidth="1"/>
    <col min="12021" max="12021" width="0" style="10" hidden="1" customWidth="1"/>
    <col min="12022" max="12022" width="5.5703125" style="10" customWidth="1"/>
    <col min="12023" max="12024" width="5.85546875" style="10" customWidth="1"/>
    <col min="12025" max="12025" width="6.28515625" style="10" customWidth="1"/>
    <col min="12026" max="12026" width="6.7109375" style="10" customWidth="1"/>
    <col min="12027" max="12027" width="0" style="10" hidden="1" customWidth="1"/>
    <col min="12028" max="12028" width="11.28515625" style="10" customWidth="1"/>
    <col min="12029" max="12029" width="8" style="10" customWidth="1"/>
    <col min="12030" max="12263" width="9.140625" style="10"/>
    <col min="12264" max="12264" width="17.42578125" style="10" customWidth="1"/>
    <col min="12265" max="12268" width="6.5703125" style="10" customWidth="1"/>
    <col min="12269" max="12269" width="6.7109375" style="10" customWidth="1"/>
    <col min="12270" max="12276" width="6.5703125" style="10" customWidth="1"/>
    <col min="12277" max="12277" width="0" style="10" hidden="1" customWidth="1"/>
    <col min="12278" max="12278" width="5.5703125" style="10" customWidth="1"/>
    <col min="12279" max="12280" width="5.85546875" style="10" customWidth="1"/>
    <col min="12281" max="12281" width="6.28515625" style="10" customWidth="1"/>
    <col min="12282" max="12282" width="6.7109375" style="10" customWidth="1"/>
    <col min="12283" max="12283" width="0" style="10" hidden="1" customWidth="1"/>
    <col min="12284" max="12284" width="11.28515625" style="10" customWidth="1"/>
    <col min="12285" max="12285" width="8" style="10" customWidth="1"/>
    <col min="12286" max="12519" width="9.140625" style="10"/>
    <col min="12520" max="12520" width="17.42578125" style="10" customWidth="1"/>
    <col min="12521" max="12524" width="6.5703125" style="10" customWidth="1"/>
    <col min="12525" max="12525" width="6.7109375" style="10" customWidth="1"/>
    <col min="12526" max="12532" width="6.5703125" style="10" customWidth="1"/>
    <col min="12533" max="12533" width="0" style="10" hidden="1" customWidth="1"/>
    <col min="12534" max="12534" width="5.5703125" style="10" customWidth="1"/>
    <col min="12535" max="12536" width="5.85546875" style="10" customWidth="1"/>
    <col min="12537" max="12537" width="6.28515625" style="10" customWidth="1"/>
    <col min="12538" max="12538" width="6.7109375" style="10" customWidth="1"/>
    <col min="12539" max="12539" width="0" style="10" hidden="1" customWidth="1"/>
    <col min="12540" max="12540" width="11.28515625" style="10" customWidth="1"/>
    <col min="12541" max="12541" width="8" style="10" customWidth="1"/>
    <col min="12542" max="12775" width="9.140625" style="10"/>
    <col min="12776" max="12776" width="17.42578125" style="10" customWidth="1"/>
    <col min="12777" max="12780" width="6.5703125" style="10" customWidth="1"/>
    <col min="12781" max="12781" width="6.7109375" style="10" customWidth="1"/>
    <col min="12782" max="12788" width="6.5703125" style="10" customWidth="1"/>
    <col min="12789" max="12789" width="0" style="10" hidden="1" customWidth="1"/>
    <col min="12790" max="12790" width="5.5703125" style="10" customWidth="1"/>
    <col min="12791" max="12792" width="5.85546875" style="10" customWidth="1"/>
    <col min="12793" max="12793" width="6.28515625" style="10" customWidth="1"/>
    <col min="12794" max="12794" width="6.7109375" style="10" customWidth="1"/>
    <col min="12795" max="12795" width="0" style="10" hidden="1" customWidth="1"/>
    <col min="12796" max="12796" width="11.28515625" style="10" customWidth="1"/>
    <col min="12797" max="12797" width="8" style="10" customWidth="1"/>
    <col min="12798" max="13031" width="9.140625" style="10"/>
    <col min="13032" max="13032" width="17.42578125" style="10" customWidth="1"/>
    <col min="13033" max="13036" width="6.5703125" style="10" customWidth="1"/>
    <col min="13037" max="13037" width="6.7109375" style="10" customWidth="1"/>
    <col min="13038" max="13044" width="6.5703125" style="10" customWidth="1"/>
    <col min="13045" max="13045" width="0" style="10" hidden="1" customWidth="1"/>
    <col min="13046" max="13046" width="5.5703125" style="10" customWidth="1"/>
    <col min="13047" max="13048" width="5.85546875" style="10" customWidth="1"/>
    <col min="13049" max="13049" width="6.28515625" style="10" customWidth="1"/>
    <col min="13050" max="13050" width="6.7109375" style="10" customWidth="1"/>
    <col min="13051" max="13051" width="0" style="10" hidden="1" customWidth="1"/>
    <col min="13052" max="13052" width="11.28515625" style="10" customWidth="1"/>
    <col min="13053" max="13053" width="8" style="10" customWidth="1"/>
    <col min="13054" max="13287" width="9.140625" style="10"/>
    <col min="13288" max="13288" width="17.42578125" style="10" customWidth="1"/>
    <col min="13289" max="13292" width="6.5703125" style="10" customWidth="1"/>
    <col min="13293" max="13293" width="6.7109375" style="10" customWidth="1"/>
    <col min="13294" max="13300" width="6.5703125" style="10" customWidth="1"/>
    <col min="13301" max="13301" width="0" style="10" hidden="1" customWidth="1"/>
    <col min="13302" max="13302" width="5.5703125" style="10" customWidth="1"/>
    <col min="13303" max="13304" width="5.85546875" style="10" customWidth="1"/>
    <col min="13305" max="13305" width="6.28515625" style="10" customWidth="1"/>
    <col min="13306" max="13306" width="6.7109375" style="10" customWidth="1"/>
    <col min="13307" max="13307" width="0" style="10" hidden="1" customWidth="1"/>
    <col min="13308" max="13308" width="11.28515625" style="10" customWidth="1"/>
    <col min="13309" max="13309" width="8" style="10" customWidth="1"/>
    <col min="13310" max="13543" width="9.140625" style="10"/>
    <col min="13544" max="13544" width="17.42578125" style="10" customWidth="1"/>
    <col min="13545" max="13548" width="6.5703125" style="10" customWidth="1"/>
    <col min="13549" max="13549" width="6.7109375" style="10" customWidth="1"/>
    <col min="13550" max="13556" width="6.5703125" style="10" customWidth="1"/>
    <col min="13557" max="13557" width="0" style="10" hidden="1" customWidth="1"/>
    <col min="13558" max="13558" width="5.5703125" style="10" customWidth="1"/>
    <col min="13559" max="13560" width="5.85546875" style="10" customWidth="1"/>
    <col min="13561" max="13561" width="6.28515625" style="10" customWidth="1"/>
    <col min="13562" max="13562" width="6.7109375" style="10" customWidth="1"/>
    <col min="13563" max="13563" width="0" style="10" hidden="1" customWidth="1"/>
    <col min="13564" max="13564" width="11.28515625" style="10" customWidth="1"/>
    <col min="13565" max="13565" width="8" style="10" customWidth="1"/>
    <col min="13566" max="13799" width="9.140625" style="10"/>
    <col min="13800" max="13800" width="17.42578125" style="10" customWidth="1"/>
    <col min="13801" max="13804" width="6.5703125" style="10" customWidth="1"/>
    <col min="13805" max="13805" width="6.7109375" style="10" customWidth="1"/>
    <col min="13806" max="13812" width="6.5703125" style="10" customWidth="1"/>
    <col min="13813" max="13813" width="0" style="10" hidden="1" customWidth="1"/>
    <col min="13814" max="13814" width="5.5703125" style="10" customWidth="1"/>
    <col min="13815" max="13816" width="5.85546875" style="10" customWidth="1"/>
    <col min="13817" max="13817" width="6.28515625" style="10" customWidth="1"/>
    <col min="13818" max="13818" width="6.7109375" style="10" customWidth="1"/>
    <col min="13819" max="13819" width="0" style="10" hidden="1" customWidth="1"/>
    <col min="13820" max="13820" width="11.28515625" style="10" customWidth="1"/>
    <col min="13821" max="13821" width="8" style="10" customWidth="1"/>
    <col min="13822" max="14055" width="9.140625" style="10"/>
    <col min="14056" max="14056" width="17.42578125" style="10" customWidth="1"/>
    <col min="14057" max="14060" width="6.5703125" style="10" customWidth="1"/>
    <col min="14061" max="14061" width="6.7109375" style="10" customWidth="1"/>
    <col min="14062" max="14068" width="6.5703125" style="10" customWidth="1"/>
    <col min="14069" max="14069" width="0" style="10" hidden="1" customWidth="1"/>
    <col min="14070" max="14070" width="5.5703125" style="10" customWidth="1"/>
    <col min="14071" max="14072" width="5.85546875" style="10" customWidth="1"/>
    <col min="14073" max="14073" width="6.28515625" style="10" customWidth="1"/>
    <col min="14074" max="14074" width="6.7109375" style="10" customWidth="1"/>
    <col min="14075" max="14075" width="0" style="10" hidden="1" customWidth="1"/>
    <col min="14076" max="14076" width="11.28515625" style="10" customWidth="1"/>
    <col min="14077" max="14077" width="8" style="10" customWidth="1"/>
    <col min="14078" max="14311" width="9.140625" style="10"/>
    <col min="14312" max="14312" width="17.42578125" style="10" customWidth="1"/>
    <col min="14313" max="14316" width="6.5703125" style="10" customWidth="1"/>
    <col min="14317" max="14317" width="6.7109375" style="10" customWidth="1"/>
    <col min="14318" max="14324" width="6.5703125" style="10" customWidth="1"/>
    <col min="14325" max="14325" width="0" style="10" hidden="1" customWidth="1"/>
    <col min="14326" max="14326" width="5.5703125" style="10" customWidth="1"/>
    <col min="14327" max="14328" width="5.85546875" style="10" customWidth="1"/>
    <col min="14329" max="14329" width="6.28515625" style="10" customWidth="1"/>
    <col min="14330" max="14330" width="6.7109375" style="10" customWidth="1"/>
    <col min="14331" max="14331" width="0" style="10" hidden="1" customWidth="1"/>
    <col min="14332" max="14332" width="11.28515625" style="10" customWidth="1"/>
    <col min="14333" max="14333" width="8" style="10" customWidth="1"/>
    <col min="14334" max="14567" width="9.140625" style="10"/>
    <col min="14568" max="14568" width="17.42578125" style="10" customWidth="1"/>
    <col min="14569" max="14572" width="6.5703125" style="10" customWidth="1"/>
    <col min="14573" max="14573" width="6.7109375" style="10" customWidth="1"/>
    <col min="14574" max="14580" width="6.5703125" style="10" customWidth="1"/>
    <col min="14581" max="14581" width="0" style="10" hidden="1" customWidth="1"/>
    <col min="14582" max="14582" width="5.5703125" style="10" customWidth="1"/>
    <col min="14583" max="14584" width="5.85546875" style="10" customWidth="1"/>
    <col min="14585" max="14585" width="6.28515625" style="10" customWidth="1"/>
    <col min="14586" max="14586" width="6.7109375" style="10" customWidth="1"/>
    <col min="14587" max="14587" width="0" style="10" hidden="1" customWidth="1"/>
    <col min="14588" max="14588" width="11.28515625" style="10" customWidth="1"/>
    <col min="14589" max="14589" width="8" style="10" customWidth="1"/>
    <col min="14590" max="14823" width="9.140625" style="10"/>
    <col min="14824" max="14824" width="17.42578125" style="10" customWidth="1"/>
    <col min="14825" max="14828" width="6.5703125" style="10" customWidth="1"/>
    <col min="14829" max="14829" width="6.7109375" style="10" customWidth="1"/>
    <col min="14830" max="14836" width="6.5703125" style="10" customWidth="1"/>
    <col min="14837" max="14837" width="0" style="10" hidden="1" customWidth="1"/>
    <col min="14838" max="14838" width="5.5703125" style="10" customWidth="1"/>
    <col min="14839" max="14840" width="5.85546875" style="10" customWidth="1"/>
    <col min="14841" max="14841" width="6.28515625" style="10" customWidth="1"/>
    <col min="14842" max="14842" width="6.7109375" style="10" customWidth="1"/>
    <col min="14843" max="14843" width="0" style="10" hidden="1" customWidth="1"/>
    <col min="14844" max="14844" width="11.28515625" style="10" customWidth="1"/>
    <col min="14845" max="14845" width="8" style="10" customWidth="1"/>
    <col min="14846" max="15079" width="9.140625" style="10"/>
    <col min="15080" max="15080" width="17.42578125" style="10" customWidth="1"/>
    <col min="15081" max="15084" width="6.5703125" style="10" customWidth="1"/>
    <col min="15085" max="15085" width="6.7109375" style="10" customWidth="1"/>
    <col min="15086" max="15092" width="6.5703125" style="10" customWidth="1"/>
    <col min="15093" max="15093" width="0" style="10" hidden="1" customWidth="1"/>
    <col min="15094" max="15094" width="5.5703125" style="10" customWidth="1"/>
    <col min="15095" max="15096" width="5.85546875" style="10" customWidth="1"/>
    <col min="15097" max="15097" width="6.28515625" style="10" customWidth="1"/>
    <col min="15098" max="15098" width="6.7109375" style="10" customWidth="1"/>
    <col min="15099" max="15099" width="0" style="10" hidden="1" customWidth="1"/>
    <col min="15100" max="15100" width="11.28515625" style="10" customWidth="1"/>
    <col min="15101" max="15101" width="8" style="10" customWidth="1"/>
    <col min="15102" max="15335" width="9.140625" style="10"/>
    <col min="15336" max="15336" width="17.42578125" style="10" customWidth="1"/>
    <col min="15337" max="15340" width="6.5703125" style="10" customWidth="1"/>
    <col min="15341" max="15341" width="6.7109375" style="10" customWidth="1"/>
    <col min="15342" max="15348" width="6.5703125" style="10" customWidth="1"/>
    <col min="15349" max="15349" width="0" style="10" hidden="1" customWidth="1"/>
    <col min="15350" max="15350" width="5.5703125" style="10" customWidth="1"/>
    <col min="15351" max="15352" width="5.85546875" style="10" customWidth="1"/>
    <col min="15353" max="15353" width="6.28515625" style="10" customWidth="1"/>
    <col min="15354" max="15354" width="6.7109375" style="10" customWidth="1"/>
    <col min="15355" max="15355" width="0" style="10" hidden="1" customWidth="1"/>
    <col min="15356" max="15356" width="11.28515625" style="10" customWidth="1"/>
    <col min="15357" max="15357" width="8" style="10" customWidth="1"/>
    <col min="15358" max="15591" width="9.140625" style="10"/>
    <col min="15592" max="15592" width="17.42578125" style="10" customWidth="1"/>
    <col min="15593" max="15596" width="6.5703125" style="10" customWidth="1"/>
    <col min="15597" max="15597" width="6.7109375" style="10" customWidth="1"/>
    <col min="15598" max="15604" width="6.5703125" style="10" customWidth="1"/>
    <col min="15605" max="15605" width="0" style="10" hidden="1" customWidth="1"/>
    <col min="15606" max="15606" width="5.5703125" style="10" customWidth="1"/>
    <col min="15607" max="15608" width="5.85546875" style="10" customWidth="1"/>
    <col min="15609" max="15609" width="6.28515625" style="10" customWidth="1"/>
    <col min="15610" max="15610" width="6.7109375" style="10" customWidth="1"/>
    <col min="15611" max="15611" width="0" style="10" hidden="1" customWidth="1"/>
    <col min="15612" max="15612" width="11.28515625" style="10" customWidth="1"/>
    <col min="15613" max="15613" width="8" style="10" customWidth="1"/>
    <col min="15614" max="15847" width="9.140625" style="10"/>
    <col min="15848" max="15848" width="17.42578125" style="10" customWidth="1"/>
    <col min="15849" max="15852" width="6.5703125" style="10" customWidth="1"/>
    <col min="15853" max="15853" width="6.7109375" style="10" customWidth="1"/>
    <col min="15854" max="15860" width="6.5703125" style="10" customWidth="1"/>
    <col min="15861" max="15861" width="0" style="10" hidden="1" customWidth="1"/>
    <col min="15862" max="15862" width="5.5703125" style="10" customWidth="1"/>
    <col min="15863" max="15864" width="5.85546875" style="10" customWidth="1"/>
    <col min="15865" max="15865" width="6.28515625" style="10" customWidth="1"/>
    <col min="15866" max="15866" width="6.7109375" style="10" customWidth="1"/>
    <col min="15867" max="15867" width="0" style="10" hidden="1" customWidth="1"/>
    <col min="15868" max="15868" width="11.28515625" style="10" customWidth="1"/>
    <col min="15869" max="15869" width="8" style="10" customWidth="1"/>
    <col min="15870" max="16103" width="9.140625" style="10"/>
    <col min="16104" max="16104" width="17.42578125" style="10" customWidth="1"/>
    <col min="16105" max="16108" width="6.5703125" style="10" customWidth="1"/>
    <col min="16109" max="16109" width="6.7109375" style="10" customWidth="1"/>
    <col min="16110" max="16116" width="6.5703125" style="10" customWidth="1"/>
    <col min="16117" max="16117" width="0" style="10" hidden="1" customWidth="1"/>
    <col min="16118" max="16118" width="5.5703125" style="10" customWidth="1"/>
    <col min="16119" max="16120" width="5.85546875" style="10" customWidth="1"/>
    <col min="16121" max="16121" width="6.28515625" style="10" customWidth="1"/>
    <col min="16122" max="16122" width="6.7109375" style="10" customWidth="1"/>
    <col min="16123" max="16123" width="0" style="10" hidden="1" customWidth="1"/>
    <col min="16124" max="16124" width="11.28515625" style="10" customWidth="1"/>
    <col min="16125" max="16125" width="8" style="10" customWidth="1"/>
    <col min="16126" max="16384" width="9.140625" style="10"/>
  </cols>
  <sheetData>
    <row r="1" spans="1:34" s="21" customFormat="1" ht="11.25" x14ac:dyDescent="0.2">
      <c r="A1" s="42" t="s">
        <v>402</v>
      </c>
      <c r="B1" s="44"/>
      <c r="C1" s="44"/>
      <c r="D1" s="44"/>
      <c r="E1" s="44"/>
      <c r="F1" s="44"/>
      <c r="G1" s="44"/>
      <c r="H1" s="44"/>
      <c r="I1" s="44"/>
      <c r="J1" s="44"/>
      <c r="K1" s="44"/>
      <c r="L1" s="44"/>
      <c r="M1" s="44"/>
      <c r="N1" s="44"/>
      <c r="O1" s="44"/>
      <c r="W1" s="228"/>
      <c r="X1" s="228"/>
      <c r="Y1" s="228"/>
      <c r="Z1" s="228"/>
      <c r="AA1" s="228"/>
      <c r="AB1" s="228"/>
      <c r="AC1" s="228"/>
      <c r="AD1" s="228"/>
      <c r="AE1" s="228"/>
      <c r="AF1" s="228"/>
      <c r="AG1" s="228"/>
      <c r="AH1" s="228"/>
    </row>
    <row r="2" spans="1:34" x14ac:dyDescent="0.2">
      <c r="A2" s="207"/>
      <c r="B2" s="21"/>
      <c r="C2" s="21"/>
      <c r="D2" s="21"/>
      <c r="E2" s="21"/>
      <c r="F2" s="21"/>
      <c r="G2" s="21"/>
      <c r="H2" s="21"/>
      <c r="I2" s="21"/>
      <c r="J2" s="21"/>
      <c r="K2" s="21"/>
      <c r="L2" s="21"/>
      <c r="M2" s="21"/>
      <c r="N2" s="21"/>
      <c r="O2" s="21"/>
      <c r="P2" s="212"/>
      <c r="Q2" s="212"/>
      <c r="R2" s="212"/>
      <c r="S2" s="196" t="s">
        <v>151</v>
      </c>
      <c r="T2" s="47"/>
      <c r="U2" s="196" t="s">
        <v>150</v>
      </c>
    </row>
    <row r="3" spans="1:34" x14ac:dyDescent="0.2">
      <c r="A3" s="213" t="s">
        <v>138</v>
      </c>
      <c r="B3" s="42" t="s">
        <v>158</v>
      </c>
      <c r="C3" s="44" t="s">
        <v>159</v>
      </c>
      <c r="D3" s="44" t="s">
        <v>160</v>
      </c>
      <c r="E3" s="44" t="s">
        <v>161</v>
      </c>
      <c r="F3" s="44" t="s">
        <v>162</v>
      </c>
      <c r="G3" s="44" t="s">
        <v>163</v>
      </c>
      <c r="H3" s="44" t="s">
        <v>164</v>
      </c>
      <c r="I3" s="44" t="s">
        <v>165</v>
      </c>
      <c r="J3" s="44" t="s">
        <v>369</v>
      </c>
      <c r="K3" s="44" t="s">
        <v>166</v>
      </c>
      <c r="L3" s="44" t="s">
        <v>167</v>
      </c>
      <c r="M3" s="44" t="s">
        <v>168</v>
      </c>
      <c r="N3" s="51"/>
      <c r="O3" s="44" t="s">
        <v>169</v>
      </c>
      <c r="P3" s="44" t="s">
        <v>170</v>
      </c>
      <c r="Q3" s="42" t="s">
        <v>171</v>
      </c>
      <c r="R3" s="42" t="s">
        <v>172</v>
      </c>
      <c r="S3" s="214" t="s">
        <v>173</v>
      </c>
      <c r="T3" s="51"/>
      <c r="U3" s="214" t="s">
        <v>174</v>
      </c>
    </row>
    <row r="4" spans="1:34" x14ac:dyDescent="0.2">
      <c r="B4" s="34"/>
      <c r="C4" s="34"/>
      <c r="D4" s="34"/>
      <c r="E4" s="34"/>
      <c r="F4" s="34"/>
      <c r="G4" s="34"/>
      <c r="H4" s="34"/>
      <c r="I4" s="34"/>
      <c r="J4" s="81"/>
      <c r="K4" s="34"/>
      <c r="L4" s="34"/>
      <c r="M4" s="34"/>
      <c r="N4" s="34"/>
      <c r="O4" s="34"/>
      <c r="P4" s="34"/>
      <c r="Q4" s="34"/>
      <c r="R4" s="34"/>
      <c r="S4" s="34"/>
      <c r="T4" s="47"/>
      <c r="U4" s="34"/>
    </row>
    <row r="5" spans="1:34" x14ac:dyDescent="0.2">
      <c r="A5" s="207" t="s">
        <v>175</v>
      </c>
      <c r="B5" s="21" t="s">
        <v>88</v>
      </c>
      <c r="C5" s="21"/>
      <c r="D5" s="21"/>
      <c r="E5" s="21"/>
      <c r="F5" s="21"/>
      <c r="G5" s="21"/>
      <c r="H5" s="21"/>
      <c r="I5" s="21"/>
      <c r="J5" s="21"/>
      <c r="K5" s="21"/>
      <c r="L5" s="21"/>
      <c r="M5" s="21"/>
      <c r="N5" s="21"/>
      <c r="O5" s="21"/>
      <c r="P5" s="21"/>
      <c r="Q5" s="21"/>
      <c r="R5" s="21"/>
      <c r="S5" s="21"/>
      <c r="T5" s="47"/>
      <c r="U5" s="21"/>
    </row>
    <row r="6" spans="1:34" x14ac:dyDescent="0.2">
      <c r="A6" s="33">
        <v>1992</v>
      </c>
      <c r="B6" s="89">
        <v>423.8</v>
      </c>
      <c r="C6" s="89">
        <v>349.7</v>
      </c>
      <c r="D6" s="89">
        <v>250.5</v>
      </c>
      <c r="E6" s="89">
        <v>0</v>
      </c>
      <c r="F6" s="89">
        <v>0</v>
      </c>
      <c r="G6" s="89">
        <v>0</v>
      </c>
      <c r="H6" s="89">
        <v>0</v>
      </c>
      <c r="I6" s="89">
        <v>0</v>
      </c>
      <c r="J6" s="89">
        <v>0</v>
      </c>
      <c r="K6" s="89">
        <v>37.161000000000001</v>
      </c>
      <c r="L6" s="89">
        <v>308.99</v>
      </c>
      <c r="M6" s="89">
        <v>367.94799999999998</v>
      </c>
      <c r="N6" s="49"/>
      <c r="O6" s="89">
        <f>SUM(B6:D6)</f>
        <v>1024</v>
      </c>
      <c r="P6" s="89">
        <f t="shared" ref="P6:P33" si="0">SUM(E6:G6)</f>
        <v>0</v>
      </c>
      <c r="Q6" s="89">
        <f t="shared" ref="Q6:Q34" si="1">SUM(H6:J6)</f>
        <v>0</v>
      </c>
      <c r="R6" s="89">
        <f>SUM(K6:M6)</f>
        <v>714.09899999999993</v>
      </c>
      <c r="S6" s="89">
        <f>SUM(O6:R6)</f>
        <v>1738.0989999999999</v>
      </c>
      <c r="T6" s="49"/>
      <c r="U6" s="89">
        <v>1832.2</v>
      </c>
    </row>
    <row r="7" spans="1:34" x14ac:dyDescent="0.2">
      <c r="A7" s="33">
        <v>1993</v>
      </c>
      <c r="B7" s="89">
        <v>269.88799999999998</v>
      </c>
      <c r="C7" s="89">
        <v>372.22</v>
      </c>
      <c r="D7" s="89">
        <v>309.89699999999999</v>
      </c>
      <c r="E7" s="89">
        <v>43.91</v>
      </c>
      <c r="F7" s="89">
        <v>0</v>
      </c>
      <c r="G7" s="89">
        <v>0</v>
      </c>
      <c r="H7" s="89">
        <v>0</v>
      </c>
      <c r="I7" s="89">
        <v>0</v>
      </c>
      <c r="J7" s="89">
        <v>0</v>
      </c>
      <c r="K7" s="89">
        <v>56.9</v>
      </c>
      <c r="L7" s="89">
        <v>347.83</v>
      </c>
      <c r="M7" s="89">
        <v>384.42</v>
      </c>
      <c r="N7" s="49"/>
      <c r="O7" s="89">
        <f t="shared" ref="O7:O14" si="2">SUM(B7:D7)</f>
        <v>952.00499999999988</v>
      </c>
      <c r="P7" s="89">
        <f t="shared" si="0"/>
        <v>43.91</v>
      </c>
      <c r="Q7" s="89">
        <f t="shared" si="1"/>
        <v>0</v>
      </c>
      <c r="R7" s="89">
        <f t="shared" ref="R7:R34" si="3">SUM(K7:M7)</f>
        <v>789.15</v>
      </c>
      <c r="S7" s="89">
        <f t="shared" ref="S7:S34" si="4">SUM(O7:R7)</f>
        <v>1785.0649999999998</v>
      </c>
      <c r="T7" s="49"/>
      <c r="U7" s="89">
        <f t="shared" ref="U7:U13" si="5">R6+SUM(O7:Q7)</f>
        <v>1710.0139999999997</v>
      </c>
    </row>
    <row r="8" spans="1:34" x14ac:dyDescent="0.2">
      <c r="A8" s="33">
        <v>1994</v>
      </c>
      <c r="B8" s="89">
        <v>392.54</v>
      </c>
      <c r="C8" s="89">
        <v>297</v>
      </c>
      <c r="D8" s="89">
        <v>283.64999999999998</v>
      </c>
      <c r="E8" s="89">
        <v>8.2899999999999991</v>
      </c>
      <c r="F8" s="89">
        <v>0</v>
      </c>
      <c r="G8" s="89">
        <v>0</v>
      </c>
      <c r="H8" s="89">
        <v>0</v>
      </c>
      <c r="I8" s="89">
        <v>0</v>
      </c>
      <c r="J8" s="89">
        <v>0</v>
      </c>
      <c r="K8" s="89">
        <v>64.599999999999994</v>
      </c>
      <c r="L8" s="89">
        <v>255</v>
      </c>
      <c r="M8" s="89">
        <v>314</v>
      </c>
      <c r="N8" s="49"/>
      <c r="O8" s="89">
        <f t="shared" si="2"/>
        <v>973.18999999999994</v>
      </c>
      <c r="P8" s="89">
        <f t="shared" si="0"/>
        <v>8.2899999999999991</v>
      </c>
      <c r="Q8" s="89">
        <f t="shared" si="1"/>
        <v>0</v>
      </c>
      <c r="R8" s="89">
        <f t="shared" si="3"/>
        <v>633.6</v>
      </c>
      <c r="S8" s="89">
        <f t="shared" si="4"/>
        <v>1615.08</v>
      </c>
      <c r="T8" s="49"/>
      <c r="U8" s="89">
        <f t="shared" si="5"/>
        <v>1770.6299999999999</v>
      </c>
    </row>
    <row r="9" spans="1:34" x14ac:dyDescent="0.2">
      <c r="A9" s="35">
        <v>1995</v>
      </c>
      <c r="B9" s="89">
        <v>385.995</v>
      </c>
      <c r="C9" s="89">
        <v>350.49799999999999</v>
      </c>
      <c r="D9" s="89">
        <v>350.81799999999998</v>
      </c>
      <c r="E9" s="89">
        <v>4.6580000000000004</v>
      </c>
      <c r="F9" s="89">
        <v>0</v>
      </c>
      <c r="G9" s="89">
        <v>0</v>
      </c>
      <c r="H9" s="89">
        <v>0</v>
      </c>
      <c r="I9" s="89">
        <v>0</v>
      </c>
      <c r="J9" s="89">
        <v>0</v>
      </c>
      <c r="K9" s="89">
        <v>20.712</v>
      </c>
      <c r="L9" s="89">
        <v>383.84800000000001</v>
      </c>
      <c r="M9" s="89">
        <v>396.995</v>
      </c>
      <c r="N9" s="49"/>
      <c r="O9" s="89">
        <f t="shared" si="2"/>
        <v>1087.3109999999999</v>
      </c>
      <c r="P9" s="89">
        <f t="shared" si="0"/>
        <v>4.6580000000000004</v>
      </c>
      <c r="Q9" s="89">
        <f t="shared" si="1"/>
        <v>0</v>
      </c>
      <c r="R9" s="89">
        <f t="shared" si="3"/>
        <v>801.55500000000006</v>
      </c>
      <c r="S9" s="89">
        <f t="shared" si="4"/>
        <v>1893.5239999999999</v>
      </c>
      <c r="T9" s="49"/>
      <c r="U9" s="89">
        <f t="shared" si="5"/>
        <v>1725.569</v>
      </c>
    </row>
    <row r="10" spans="1:34" x14ac:dyDescent="0.2">
      <c r="A10" s="35">
        <v>1996</v>
      </c>
      <c r="B10" s="89">
        <v>433.98899999999998</v>
      </c>
      <c r="C10" s="89">
        <v>367.096</v>
      </c>
      <c r="D10" s="89">
        <v>168.84700000000001</v>
      </c>
      <c r="E10" s="89">
        <v>0</v>
      </c>
      <c r="F10" s="89">
        <v>0</v>
      </c>
      <c r="G10" s="89">
        <v>0</v>
      </c>
      <c r="H10" s="89">
        <v>0</v>
      </c>
      <c r="I10" s="89">
        <v>0</v>
      </c>
      <c r="J10" s="89">
        <v>0</v>
      </c>
      <c r="K10" s="89">
        <v>35.851999999999997</v>
      </c>
      <c r="L10" s="89">
        <v>314.38200000000001</v>
      </c>
      <c r="M10" s="89">
        <v>387.23599999999999</v>
      </c>
      <c r="N10" s="49"/>
      <c r="O10" s="89">
        <f t="shared" si="2"/>
        <v>969.93200000000002</v>
      </c>
      <c r="P10" s="89">
        <f t="shared" si="0"/>
        <v>0</v>
      </c>
      <c r="Q10" s="89">
        <f t="shared" si="1"/>
        <v>0</v>
      </c>
      <c r="R10" s="89">
        <f t="shared" si="3"/>
        <v>737.47</v>
      </c>
      <c r="S10" s="89">
        <f t="shared" si="4"/>
        <v>1707.402</v>
      </c>
      <c r="T10" s="49"/>
      <c r="U10" s="89">
        <f t="shared" si="5"/>
        <v>1771.4870000000001</v>
      </c>
    </row>
    <row r="11" spans="1:34" x14ac:dyDescent="0.2">
      <c r="A11" s="35">
        <v>1997</v>
      </c>
      <c r="B11" s="89">
        <v>425.82299999999998</v>
      </c>
      <c r="C11" s="89">
        <v>375.62700000000001</v>
      </c>
      <c r="D11" s="89">
        <v>140.244</v>
      </c>
      <c r="E11" s="89">
        <v>0</v>
      </c>
      <c r="F11" s="89">
        <v>0</v>
      </c>
      <c r="G11" s="89">
        <v>0</v>
      </c>
      <c r="H11" s="89">
        <v>0</v>
      </c>
      <c r="I11" s="89">
        <v>0</v>
      </c>
      <c r="J11" s="89">
        <v>0</v>
      </c>
      <c r="K11" s="89">
        <v>87.153000000000006</v>
      </c>
      <c r="L11" s="89">
        <v>385.19200000000001</v>
      </c>
      <c r="M11" s="89">
        <v>288.86399999999998</v>
      </c>
      <c r="N11" s="49"/>
      <c r="O11" s="89">
        <f t="shared" si="2"/>
        <v>941.69400000000007</v>
      </c>
      <c r="P11" s="89">
        <f t="shared" si="0"/>
        <v>0</v>
      </c>
      <c r="Q11" s="89">
        <f t="shared" si="1"/>
        <v>0</v>
      </c>
      <c r="R11" s="89">
        <f t="shared" si="3"/>
        <v>761.20900000000006</v>
      </c>
      <c r="S11" s="89">
        <f t="shared" si="4"/>
        <v>1702.9030000000002</v>
      </c>
      <c r="T11" s="49"/>
      <c r="U11" s="89">
        <f t="shared" si="5"/>
        <v>1679.1640000000002</v>
      </c>
    </row>
    <row r="12" spans="1:34" x14ac:dyDescent="0.2">
      <c r="A12" s="35">
        <v>1998</v>
      </c>
      <c r="B12" s="89">
        <v>446.96899999999999</v>
      </c>
      <c r="C12" s="89">
        <v>306.05099999999999</v>
      </c>
      <c r="D12" s="89">
        <v>308.673</v>
      </c>
      <c r="E12" s="89">
        <v>100.82899999999999</v>
      </c>
      <c r="F12" s="89">
        <v>0</v>
      </c>
      <c r="G12" s="89">
        <v>0</v>
      </c>
      <c r="H12" s="89">
        <v>0</v>
      </c>
      <c r="I12" s="89">
        <v>0</v>
      </c>
      <c r="J12" s="89">
        <v>0</v>
      </c>
      <c r="K12" s="89">
        <v>99.224999999999994</v>
      </c>
      <c r="L12" s="89">
        <v>282.46100000000001</v>
      </c>
      <c r="M12" s="89">
        <v>422.447</v>
      </c>
      <c r="N12" s="49"/>
      <c r="O12" s="89">
        <f t="shared" si="2"/>
        <v>1061.693</v>
      </c>
      <c r="P12" s="89">
        <f t="shared" si="0"/>
        <v>100.82899999999999</v>
      </c>
      <c r="Q12" s="89">
        <f t="shared" si="1"/>
        <v>0</v>
      </c>
      <c r="R12" s="89">
        <f t="shared" si="3"/>
        <v>804.13300000000004</v>
      </c>
      <c r="S12" s="89">
        <f t="shared" si="4"/>
        <v>1966.655</v>
      </c>
      <c r="T12" s="49"/>
      <c r="U12" s="89">
        <f t="shared" si="5"/>
        <v>1923.731</v>
      </c>
    </row>
    <row r="13" spans="1:34" x14ac:dyDescent="0.2">
      <c r="A13" s="35">
        <v>1999</v>
      </c>
      <c r="B13" s="89">
        <v>438.81200000000001</v>
      </c>
      <c r="C13" s="89">
        <v>396.79300000000001</v>
      </c>
      <c r="D13" s="89">
        <v>366.27100000000002</v>
      </c>
      <c r="E13" s="89">
        <v>125.569</v>
      </c>
      <c r="F13" s="89">
        <v>0</v>
      </c>
      <c r="G13" s="89">
        <v>0</v>
      </c>
      <c r="H13" s="89">
        <v>0</v>
      </c>
      <c r="I13" s="89">
        <v>0</v>
      </c>
      <c r="J13" s="89">
        <v>0</v>
      </c>
      <c r="K13" s="89">
        <v>77.628</v>
      </c>
      <c r="L13" s="89">
        <v>385.15100000000001</v>
      </c>
      <c r="M13" s="89">
        <v>384.80700000000002</v>
      </c>
      <c r="N13" s="49"/>
      <c r="O13" s="89">
        <f t="shared" si="2"/>
        <v>1201.876</v>
      </c>
      <c r="P13" s="89">
        <f t="shared" si="0"/>
        <v>125.569</v>
      </c>
      <c r="Q13" s="89">
        <f t="shared" si="1"/>
        <v>0</v>
      </c>
      <c r="R13" s="89">
        <f t="shared" si="3"/>
        <v>847.58600000000001</v>
      </c>
      <c r="S13" s="89">
        <f t="shared" si="4"/>
        <v>2175.0309999999999</v>
      </c>
      <c r="T13" s="49"/>
      <c r="U13" s="89">
        <f t="shared" si="5"/>
        <v>2131.578</v>
      </c>
    </row>
    <row r="14" spans="1:34" x14ac:dyDescent="0.2">
      <c r="A14" s="33">
        <v>2000</v>
      </c>
      <c r="B14" s="89">
        <v>453.84399999999999</v>
      </c>
      <c r="C14" s="89">
        <v>395.92200000000003</v>
      </c>
      <c r="D14" s="89">
        <v>214.01499999999999</v>
      </c>
      <c r="E14" s="89">
        <v>64.876999999999995</v>
      </c>
      <c r="F14" s="89">
        <v>0</v>
      </c>
      <c r="G14" s="89">
        <v>0</v>
      </c>
      <c r="H14" s="89">
        <v>0</v>
      </c>
      <c r="I14" s="89">
        <v>0</v>
      </c>
      <c r="J14" s="89">
        <v>0</v>
      </c>
      <c r="K14" s="89">
        <v>127.916</v>
      </c>
      <c r="L14" s="89">
        <v>383.54700000000003</v>
      </c>
      <c r="M14" s="89">
        <v>409.78100000000001</v>
      </c>
      <c r="N14" s="49"/>
      <c r="O14" s="89">
        <f t="shared" si="2"/>
        <v>1063.7809999999999</v>
      </c>
      <c r="P14" s="89">
        <f t="shared" si="0"/>
        <v>64.876999999999995</v>
      </c>
      <c r="Q14" s="89">
        <f t="shared" si="1"/>
        <v>0</v>
      </c>
      <c r="R14" s="89">
        <f t="shared" si="3"/>
        <v>921.24400000000003</v>
      </c>
      <c r="S14" s="89">
        <f t="shared" si="4"/>
        <v>2049.902</v>
      </c>
      <c r="T14" s="49"/>
      <c r="U14" s="89">
        <f t="shared" ref="U14:U27" si="6">R13+SUM(O14:Q14)</f>
        <v>1976.2439999999999</v>
      </c>
    </row>
    <row r="15" spans="1:34" x14ac:dyDescent="0.2">
      <c r="A15" s="132">
        <v>2001</v>
      </c>
      <c r="B15" s="89">
        <v>465.161</v>
      </c>
      <c r="C15" s="89">
        <v>389.66300000000001</v>
      </c>
      <c r="D15" s="89">
        <v>250.667</v>
      </c>
      <c r="E15" s="89">
        <v>29.88</v>
      </c>
      <c r="F15" s="89">
        <v>4.3999999999999997E-2</v>
      </c>
      <c r="G15" s="89">
        <v>0</v>
      </c>
      <c r="H15" s="89">
        <v>0</v>
      </c>
      <c r="I15" s="89">
        <v>0</v>
      </c>
      <c r="J15" s="89">
        <v>0</v>
      </c>
      <c r="K15" s="89">
        <v>79.677999999999997</v>
      </c>
      <c r="L15" s="89">
        <v>382.34100000000001</v>
      </c>
      <c r="M15" s="89">
        <v>407.916</v>
      </c>
      <c r="N15" s="49"/>
      <c r="O15" s="89">
        <f t="shared" ref="O15:O34" si="7">SUM(B15:D15)</f>
        <v>1105.491</v>
      </c>
      <c r="P15" s="89">
        <f t="shared" si="0"/>
        <v>29.923999999999999</v>
      </c>
      <c r="Q15" s="89">
        <f t="shared" si="1"/>
        <v>0</v>
      </c>
      <c r="R15" s="89">
        <f t="shared" si="3"/>
        <v>869.93499999999995</v>
      </c>
      <c r="S15" s="89">
        <f t="shared" si="4"/>
        <v>2005.35</v>
      </c>
      <c r="T15" s="49"/>
      <c r="U15" s="89">
        <f t="shared" si="6"/>
        <v>2056.6590000000001</v>
      </c>
    </row>
    <row r="16" spans="1:34" x14ac:dyDescent="0.2">
      <c r="A16" s="110">
        <v>2002</v>
      </c>
      <c r="B16" s="89">
        <v>430.452</v>
      </c>
      <c r="C16" s="89">
        <v>292.762</v>
      </c>
      <c r="D16" s="89">
        <v>344.77800000000002</v>
      </c>
      <c r="E16" s="89">
        <v>46.637</v>
      </c>
      <c r="F16" s="89">
        <v>0</v>
      </c>
      <c r="G16" s="89">
        <v>0</v>
      </c>
      <c r="H16" s="89">
        <v>-4.282</v>
      </c>
      <c r="I16" s="89">
        <v>0</v>
      </c>
      <c r="J16" s="89">
        <v>0</v>
      </c>
      <c r="K16" s="89">
        <v>133.55000000000001</v>
      </c>
      <c r="L16" s="89">
        <v>353.83499999999998</v>
      </c>
      <c r="M16" s="89">
        <v>328.95</v>
      </c>
      <c r="N16" s="49"/>
      <c r="O16" s="89">
        <f t="shared" si="7"/>
        <v>1067.992</v>
      </c>
      <c r="P16" s="89">
        <f t="shared" si="0"/>
        <v>46.637</v>
      </c>
      <c r="Q16" s="89">
        <f t="shared" si="1"/>
        <v>-4.282</v>
      </c>
      <c r="R16" s="89">
        <f t="shared" si="3"/>
        <v>816.33500000000004</v>
      </c>
      <c r="S16" s="89">
        <f t="shared" si="4"/>
        <v>1926.682</v>
      </c>
      <c r="T16" s="49"/>
      <c r="U16" s="89">
        <f t="shared" si="6"/>
        <v>1980.2819999999999</v>
      </c>
    </row>
    <row r="17" spans="1:21" x14ac:dyDescent="0.2">
      <c r="A17" s="110">
        <v>2003</v>
      </c>
      <c r="B17" s="89">
        <v>440.92700000000002</v>
      </c>
      <c r="C17" s="89">
        <v>399.952</v>
      </c>
      <c r="D17" s="89">
        <v>376.93400000000003</v>
      </c>
      <c r="E17" s="89">
        <v>94.998000000000005</v>
      </c>
      <c r="F17" s="89">
        <v>0</v>
      </c>
      <c r="G17" s="89">
        <v>0</v>
      </c>
      <c r="H17" s="89">
        <v>0</v>
      </c>
      <c r="I17" s="89">
        <v>0</v>
      </c>
      <c r="J17" s="89">
        <v>0</v>
      </c>
      <c r="K17" s="89">
        <v>148.23500000000001</v>
      </c>
      <c r="L17" s="89">
        <v>391.14800000000002</v>
      </c>
      <c r="M17" s="89">
        <v>381.23599999999999</v>
      </c>
      <c r="N17" s="49"/>
      <c r="O17" s="89">
        <f t="shared" si="7"/>
        <v>1217.8130000000001</v>
      </c>
      <c r="P17" s="89">
        <f t="shared" si="0"/>
        <v>94.998000000000005</v>
      </c>
      <c r="Q17" s="89">
        <f t="shared" si="1"/>
        <v>0</v>
      </c>
      <c r="R17" s="89">
        <f t="shared" si="3"/>
        <v>920.61900000000003</v>
      </c>
      <c r="S17" s="89">
        <f t="shared" si="4"/>
        <v>2233.4300000000003</v>
      </c>
      <c r="T17" s="49"/>
      <c r="U17" s="89">
        <f t="shared" si="6"/>
        <v>2129.1460000000002</v>
      </c>
    </row>
    <row r="18" spans="1:21" x14ac:dyDescent="0.2">
      <c r="A18" s="110">
        <v>2004</v>
      </c>
      <c r="B18" s="89">
        <v>433.25400000000002</v>
      </c>
      <c r="C18" s="89">
        <v>359.29300000000001</v>
      </c>
      <c r="D18" s="89">
        <v>380.83299999999997</v>
      </c>
      <c r="E18" s="89">
        <v>59.983999999999995</v>
      </c>
      <c r="F18" s="89">
        <v>0</v>
      </c>
      <c r="G18" s="89">
        <v>0</v>
      </c>
      <c r="H18" s="89">
        <v>0</v>
      </c>
      <c r="I18" s="89">
        <v>0</v>
      </c>
      <c r="J18" s="89">
        <v>0</v>
      </c>
      <c r="K18" s="89">
        <v>64.341999999999999</v>
      </c>
      <c r="L18" s="89">
        <v>361.29399999999998</v>
      </c>
      <c r="M18" s="89">
        <v>377.07600000000002</v>
      </c>
      <c r="N18" s="49"/>
      <c r="O18" s="89">
        <f t="shared" si="7"/>
        <v>1173.3800000000001</v>
      </c>
      <c r="P18" s="89">
        <f t="shared" si="0"/>
        <v>59.983999999999995</v>
      </c>
      <c r="Q18" s="89">
        <f t="shared" si="1"/>
        <v>0</v>
      </c>
      <c r="R18" s="89">
        <f t="shared" si="3"/>
        <v>802.71199999999999</v>
      </c>
      <c r="S18" s="89">
        <f t="shared" si="4"/>
        <v>2036.076</v>
      </c>
      <c r="T18" s="49"/>
      <c r="U18" s="89">
        <f t="shared" si="6"/>
        <v>2153.9830000000002</v>
      </c>
    </row>
    <row r="19" spans="1:21" x14ac:dyDescent="0.2">
      <c r="A19" s="110">
        <v>2005</v>
      </c>
      <c r="B19" s="89">
        <v>397.673</v>
      </c>
      <c r="C19" s="89">
        <v>276.90899999999999</v>
      </c>
      <c r="D19" s="89">
        <v>184.42699999999999</v>
      </c>
      <c r="E19" s="89">
        <v>30.88</v>
      </c>
      <c r="F19" s="89">
        <v>0</v>
      </c>
      <c r="G19" s="89">
        <v>0</v>
      </c>
      <c r="H19" s="89">
        <v>0</v>
      </c>
      <c r="I19" s="89">
        <v>0</v>
      </c>
      <c r="J19" s="89">
        <v>0</v>
      </c>
      <c r="K19" s="89">
        <v>29.152000000000001</v>
      </c>
      <c r="L19" s="89">
        <v>240.626</v>
      </c>
      <c r="M19" s="89">
        <v>306.54500000000002</v>
      </c>
      <c r="N19" s="49"/>
      <c r="O19" s="89">
        <f t="shared" si="7"/>
        <v>859.00900000000001</v>
      </c>
      <c r="P19" s="89">
        <f t="shared" si="0"/>
        <v>30.88</v>
      </c>
      <c r="Q19" s="89">
        <v>0</v>
      </c>
      <c r="R19" s="89">
        <f t="shared" si="3"/>
        <v>576.32300000000009</v>
      </c>
      <c r="S19" s="89">
        <f t="shared" si="4"/>
        <v>1466.212</v>
      </c>
      <c r="T19" s="49"/>
      <c r="U19" s="89">
        <f t="shared" si="6"/>
        <v>1692.6010000000001</v>
      </c>
    </row>
    <row r="20" spans="1:21" x14ac:dyDescent="0.2">
      <c r="A20" s="110">
        <v>2006</v>
      </c>
      <c r="B20" s="89">
        <v>347.017</v>
      </c>
      <c r="C20" s="89">
        <v>253.405</v>
      </c>
      <c r="D20" s="89">
        <v>150.72800000000001</v>
      </c>
      <c r="E20" s="89">
        <v>39.933999999999997</v>
      </c>
      <c r="F20" s="89">
        <v>0</v>
      </c>
      <c r="G20" s="89">
        <v>0</v>
      </c>
      <c r="H20" s="89">
        <v>0</v>
      </c>
      <c r="I20" s="89">
        <v>0</v>
      </c>
      <c r="J20" s="89">
        <v>0</v>
      </c>
      <c r="K20" s="89">
        <v>116.974</v>
      </c>
      <c r="L20" s="89">
        <v>308.69</v>
      </c>
      <c r="M20" s="89">
        <v>327.08</v>
      </c>
      <c r="N20" s="49"/>
      <c r="O20" s="89">
        <f t="shared" si="7"/>
        <v>751.15000000000009</v>
      </c>
      <c r="P20" s="89">
        <f t="shared" si="0"/>
        <v>39.933999999999997</v>
      </c>
      <c r="Q20" s="89">
        <f t="shared" si="1"/>
        <v>0</v>
      </c>
      <c r="R20" s="89">
        <f t="shared" si="3"/>
        <v>752.74399999999991</v>
      </c>
      <c r="S20" s="89">
        <f t="shared" si="4"/>
        <v>1543.828</v>
      </c>
      <c r="T20" s="49"/>
      <c r="U20" s="89">
        <f t="shared" si="6"/>
        <v>1367.4070000000002</v>
      </c>
    </row>
    <row r="21" spans="1:21" x14ac:dyDescent="0.2">
      <c r="A21" s="110">
        <v>2007</v>
      </c>
      <c r="B21" s="89">
        <v>348</v>
      </c>
      <c r="C21" s="89">
        <v>321.65899999999999</v>
      </c>
      <c r="D21" s="89">
        <v>253.90799999999999</v>
      </c>
      <c r="E21" s="89">
        <v>42.213999999999999</v>
      </c>
      <c r="F21" s="89">
        <v>0</v>
      </c>
      <c r="G21" s="89">
        <v>0</v>
      </c>
      <c r="H21" s="89">
        <v>0</v>
      </c>
      <c r="I21" s="89">
        <v>0</v>
      </c>
      <c r="J21" s="89">
        <v>0</v>
      </c>
      <c r="K21" s="89">
        <v>72.703000000000003</v>
      </c>
      <c r="L21" s="89">
        <v>291.79399999999998</v>
      </c>
      <c r="M21" s="89">
        <v>323.66300000000001</v>
      </c>
      <c r="N21" s="49"/>
      <c r="O21" s="89">
        <f t="shared" si="7"/>
        <v>923.56700000000001</v>
      </c>
      <c r="P21" s="89">
        <f t="shared" si="0"/>
        <v>42.213999999999999</v>
      </c>
      <c r="Q21" s="89">
        <f t="shared" si="1"/>
        <v>0</v>
      </c>
      <c r="R21" s="89">
        <f t="shared" si="3"/>
        <v>688.16</v>
      </c>
      <c r="S21" s="89">
        <f t="shared" si="4"/>
        <v>1653.9409999999998</v>
      </c>
      <c r="T21" s="49"/>
      <c r="U21" s="89">
        <f t="shared" si="6"/>
        <v>1718.5249999999999</v>
      </c>
    </row>
    <row r="22" spans="1:21" x14ac:dyDescent="0.2">
      <c r="A22" s="110">
        <v>2008</v>
      </c>
      <c r="B22" s="89">
        <v>321.41399999999999</v>
      </c>
      <c r="C22" s="89">
        <v>253.43799999999999</v>
      </c>
      <c r="D22" s="89">
        <v>242.56</v>
      </c>
      <c r="E22" s="89">
        <v>92.302000000000007</v>
      </c>
      <c r="F22" s="89">
        <v>47.237000000000002</v>
      </c>
      <c r="G22" s="89">
        <v>0</v>
      </c>
      <c r="H22" s="89">
        <v>0</v>
      </c>
      <c r="I22" s="89">
        <v>0</v>
      </c>
      <c r="J22" s="89">
        <v>0</v>
      </c>
      <c r="K22" s="89">
        <v>97.438000000000002</v>
      </c>
      <c r="L22" s="89">
        <v>333.63</v>
      </c>
      <c r="M22" s="89">
        <v>284.68099999999998</v>
      </c>
      <c r="N22" s="49"/>
      <c r="O22" s="89">
        <f t="shared" si="7"/>
        <v>817.41200000000003</v>
      </c>
      <c r="P22" s="89">
        <f t="shared" si="0"/>
        <v>139.53900000000002</v>
      </c>
      <c r="Q22" s="89">
        <f t="shared" si="1"/>
        <v>0</v>
      </c>
      <c r="R22" s="89">
        <f t="shared" si="3"/>
        <v>715.74900000000002</v>
      </c>
      <c r="S22" s="89">
        <f t="shared" si="4"/>
        <v>1672.7</v>
      </c>
      <c r="T22" s="49"/>
      <c r="U22" s="89">
        <f t="shared" si="6"/>
        <v>1645.1109999999999</v>
      </c>
    </row>
    <row r="23" spans="1:21" x14ac:dyDescent="0.2">
      <c r="A23" s="110">
        <v>2009</v>
      </c>
      <c r="B23" s="89">
        <v>331.30799999999999</v>
      </c>
      <c r="C23" s="89">
        <v>302.69400000000002</v>
      </c>
      <c r="D23" s="89">
        <v>204.941</v>
      </c>
      <c r="E23" s="89">
        <v>22.28</v>
      </c>
      <c r="F23" s="89">
        <v>0</v>
      </c>
      <c r="G23" s="89">
        <v>0</v>
      </c>
      <c r="H23" s="89">
        <v>0</v>
      </c>
      <c r="I23" s="89">
        <v>0</v>
      </c>
      <c r="J23" s="89">
        <v>0</v>
      </c>
      <c r="K23" s="89">
        <v>100.05200000000001</v>
      </c>
      <c r="L23" s="89">
        <v>337.017</v>
      </c>
      <c r="M23" s="89">
        <v>264.65600000000001</v>
      </c>
      <c r="N23" s="49"/>
      <c r="O23" s="89">
        <f t="shared" si="7"/>
        <v>838.94299999999998</v>
      </c>
      <c r="P23" s="89">
        <f t="shared" si="0"/>
        <v>22.28</v>
      </c>
      <c r="Q23" s="89">
        <f t="shared" si="1"/>
        <v>0</v>
      </c>
      <c r="R23" s="89">
        <f t="shared" si="3"/>
        <v>701.72500000000002</v>
      </c>
      <c r="S23" s="89">
        <f t="shared" si="4"/>
        <v>1562.9479999999999</v>
      </c>
      <c r="T23" s="49"/>
      <c r="U23" s="89">
        <f t="shared" si="6"/>
        <v>1576.972</v>
      </c>
    </row>
    <row r="24" spans="1:21" x14ac:dyDescent="0.2">
      <c r="A24" s="110">
        <v>2010</v>
      </c>
      <c r="B24" s="89">
        <v>357.50400000000002</v>
      </c>
      <c r="C24" s="89">
        <v>294.07900000000001</v>
      </c>
      <c r="D24" s="89">
        <v>207.38800000000001</v>
      </c>
      <c r="E24" s="89">
        <v>85.073999999999998</v>
      </c>
      <c r="F24" s="89">
        <v>0</v>
      </c>
      <c r="G24" s="89">
        <v>0</v>
      </c>
      <c r="H24" s="89">
        <v>0</v>
      </c>
      <c r="I24" s="89">
        <v>0</v>
      </c>
      <c r="J24" s="89">
        <v>0</v>
      </c>
      <c r="K24" s="89">
        <v>164.071</v>
      </c>
      <c r="L24" s="89">
        <v>332.29700000000003</v>
      </c>
      <c r="M24" s="89">
        <v>327.27600000000001</v>
      </c>
      <c r="N24" s="49"/>
      <c r="O24" s="89">
        <f t="shared" si="7"/>
        <v>858.97100000000012</v>
      </c>
      <c r="P24" s="89">
        <f t="shared" si="0"/>
        <v>85.073999999999998</v>
      </c>
      <c r="Q24" s="89">
        <f t="shared" si="1"/>
        <v>0</v>
      </c>
      <c r="R24" s="89">
        <f t="shared" si="3"/>
        <v>823.64400000000001</v>
      </c>
      <c r="S24" s="89">
        <f t="shared" si="4"/>
        <v>1767.6890000000001</v>
      </c>
      <c r="T24" s="49"/>
      <c r="U24" s="89">
        <f t="shared" si="6"/>
        <v>1645.77</v>
      </c>
    </row>
    <row r="25" spans="1:21" x14ac:dyDescent="0.2">
      <c r="A25" s="110">
        <v>2011</v>
      </c>
      <c r="B25" s="89">
        <v>297.14600000000002</v>
      </c>
      <c r="C25" s="89">
        <v>219.98</v>
      </c>
      <c r="D25" s="89">
        <v>91.864999999999995</v>
      </c>
      <c r="E25" s="89">
        <v>0</v>
      </c>
      <c r="F25" s="89">
        <v>0</v>
      </c>
      <c r="G25" s="89">
        <v>0</v>
      </c>
      <c r="H25" s="89">
        <v>0</v>
      </c>
      <c r="I25" s="89">
        <v>0</v>
      </c>
      <c r="J25" s="89">
        <v>0</v>
      </c>
      <c r="K25" s="89">
        <v>101.084</v>
      </c>
      <c r="L25" s="89">
        <v>277.125</v>
      </c>
      <c r="M25" s="89">
        <v>315.60000000000002</v>
      </c>
      <c r="N25" s="49"/>
      <c r="O25" s="89">
        <f t="shared" si="7"/>
        <v>608.99099999999999</v>
      </c>
      <c r="P25" s="89">
        <f t="shared" si="0"/>
        <v>0</v>
      </c>
      <c r="Q25" s="89">
        <f t="shared" si="1"/>
        <v>0</v>
      </c>
      <c r="R25" s="89">
        <f t="shared" si="3"/>
        <v>693.80899999999997</v>
      </c>
      <c r="S25" s="89">
        <f t="shared" si="4"/>
        <v>1302.8</v>
      </c>
      <c r="T25" s="49"/>
      <c r="U25" s="89">
        <f t="shared" si="6"/>
        <v>1432.635</v>
      </c>
    </row>
    <row r="26" spans="1:21" x14ac:dyDescent="0.2">
      <c r="A26" s="132">
        <v>2012</v>
      </c>
      <c r="B26" s="89">
        <v>388.53</v>
      </c>
      <c r="C26" s="89">
        <v>346.726</v>
      </c>
      <c r="D26" s="89">
        <v>327.79</v>
      </c>
      <c r="E26" s="89">
        <v>70.915000000000006</v>
      </c>
      <c r="F26" s="89">
        <v>0</v>
      </c>
      <c r="G26" s="89">
        <v>0</v>
      </c>
      <c r="H26" s="89">
        <v>0</v>
      </c>
      <c r="I26" s="89">
        <v>0</v>
      </c>
      <c r="J26" s="89">
        <v>0</v>
      </c>
      <c r="K26" s="89">
        <v>138.53200000000001</v>
      </c>
      <c r="L26" s="89">
        <v>337.565</v>
      </c>
      <c r="M26" s="89">
        <v>343.45400000000001</v>
      </c>
      <c r="N26" s="49"/>
      <c r="O26" s="89">
        <f t="shared" si="7"/>
        <v>1063.046</v>
      </c>
      <c r="P26" s="89">
        <f t="shared" si="0"/>
        <v>70.915000000000006</v>
      </c>
      <c r="Q26" s="89">
        <f t="shared" si="1"/>
        <v>0</v>
      </c>
      <c r="R26" s="89">
        <f t="shared" si="3"/>
        <v>819.55099999999993</v>
      </c>
      <c r="S26" s="89">
        <f t="shared" si="4"/>
        <v>1953.5119999999999</v>
      </c>
      <c r="T26" s="49"/>
      <c r="U26" s="89">
        <f t="shared" si="6"/>
        <v>1827.77</v>
      </c>
    </row>
    <row r="27" spans="1:21" x14ac:dyDescent="0.2">
      <c r="A27" s="132">
        <v>2013</v>
      </c>
      <c r="B27" s="89">
        <v>368.26799999999997</v>
      </c>
      <c r="C27" s="89">
        <v>278.98399999999998</v>
      </c>
      <c r="D27" s="89">
        <v>300.92700000000002</v>
      </c>
      <c r="E27" s="89">
        <v>99.198999999999998</v>
      </c>
      <c r="F27" s="89">
        <v>0</v>
      </c>
      <c r="G27" s="89">
        <v>0</v>
      </c>
      <c r="H27" s="89">
        <v>0</v>
      </c>
      <c r="I27" s="89">
        <v>0</v>
      </c>
      <c r="J27" s="89">
        <v>0</v>
      </c>
      <c r="K27" s="89">
        <v>180.25800000000001</v>
      </c>
      <c r="L27" s="89">
        <v>343.08499999999998</v>
      </c>
      <c r="M27" s="89">
        <v>358.66300000000001</v>
      </c>
      <c r="N27" s="49"/>
      <c r="O27" s="89">
        <f t="shared" si="7"/>
        <v>948.17899999999997</v>
      </c>
      <c r="P27" s="89">
        <f t="shared" si="0"/>
        <v>99.198999999999998</v>
      </c>
      <c r="Q27" s="89">
        <f t="shared" si="1"/>
        <v>0</v>
      </c>
      <c r="R27" s="89">
        <f t="shared" si="3"/>
        <v>882.00599999999997</v>
      </c>
      <c r="S27" s="89">
        <f t="shared" si="4"/>
        <v>1929.384</v>
      </c>
      <c r="T27" s="49"/>
      <c r="U27" s="89">
        <f t="shared" si="6"/>
        <v>1866.9289999999999</v>
      </c>
    </row>
    <row r="28" spans="1:21" x14ac:dyDescent="0.2">
      <c r="A28" s="132">
        <v>2014</v>
      </c>
      <c r="B28" s="89">
        <v>334.43299999999999</v>
      </c>
      <c r="C28" s="89">
        <v>252.411</v>
      </c>
      <c r="D28" s="89">
        <v>225.679</v>
      </c>
      <c r="E28" s="89">
        <v>68.262</v>
      </c>
      <c r="F28" s="89">
        <v>0</v>
      </c>
      <c r="G28" s="89">
        <v>0</v>
      </c>
      <c r="H28" s="89">
        <v>0</v>
      </c>
      <c r="I28" s="89">
        <v>0</v>
      </c>
      <c r="J28" s="89">
        <v>0</v>
      </c>
      <c r="K28" s="89">
        <v>168.36099999999999</v>
      </c>
      <c r="L28" s="89">
        <v>377.52800000000002</v>
      </c>
      <c r="M28" s="89">
        <v>343.39800000000002</v>
      </c>
      <c r="N28" s="49"/>
      <c r="O28" s="89">
        <f t="shared" si="7"/>
        <v>812.52300000000002</v>
      </c>
      <c r="P28" s="89">
        <f t="shared" si="0"/>
        <v>68.262</v>
      </c>
      <c r="Q28" s="89">
        <f t="shared" si="1"/>
        <v>0</v>
      </c>
      <c r="R28" s="89">
        <f t="shared" si="3"/>
        <v>889.28700000000003</v>
      </c>
      <c r="S28" s="89">
        <f t="shared" si="4"/>
        <v>1770.0720000000001</v>
      </c>
      <c r="T28" s="49"/>
      <c r="U28" s="89">
        <f t="shared" ref="U28:U34" si="8">R27+SUM(O28:Q28)</f>
        <v>1762.7910000000002</v>
      </c>
    </row>
    <row r="29" spans="1:21" x14ac:dyDescent="0.2">
      <c r="A29" s="132">
        <v>2015</v>
      </c>
      <c r="B29" s="89">
        <v>368.35300000000001</v>
      </c>
      <c r="C29" s="89">
        <v>303.834</v>
      </c>
      <c r="D29" s="89">
        <v>323.88099999999997</v>
      </c>
      <c r="E29" s="89">
        <v>95.858999999999995</v>
      </c>
      <c r="F29" s="89">
        <v>0</v>
      </c>
      <c r="G29" s="89">
        <v>0</v>
      </c>
      <c r="H29" s="89">
        <v>0</v>
      </c>
      <c r="I29" s="89">
        <v>0</v>
      </c>
      <c r="J29" s="89">
        <v>0</v>
      </c>
      <c r="K29" s="89">
        <v>206.20599999999999</v>
      </c>
      <c r="L29" s="89">
        <v>364.00400000000002</v>
      </c>
      <c r="M29" s="89">
        <v>287.82499999999999</v>
      </c>
      <c r="N29" s="49"/>
      <c r="O29" s="89">
        <f t="shared" si="7"/>
        <v>996.06799999999998</v>
      </c>
      <c r="P29" s="89">
        <f t="shared" si="0"/>
        <v>95.858999999999995</v>
      </c>
      <c r="Q29" s="89">
        <f t="shared" si="1"/>
        <v>0</v>
      </c>
      <c r="R29" s="89">
        <f t="shared" si="3"/>
        <v>858.03500000000008</v>
      </c>
      <c r="S29" s="89">
        <f t="shared" si="4"/>
        <v>1949.962</v>
      </c>
      <c r="T29" s="49"/>
      <c r="U29" s="89">
        <f t="shared" si="8"/>
        <v>1981.2139999999999</v>
      </c>
    </row>
    <row r="30" spans="1:21" x14ac:dyDescent="0.2">
      <c r="A30" s="132">
        <v>2016</v>
      </c>
      <c r="B30" s="89">
        <v>226.161</v>
      </c>
      <c r="C30" s="89">
        <v>265.31700000000001</v>
      </c>
      <c r="D30" s="89">
        <v>354.23899999999998</v>
      </c>
      <c r="E30" s="89">
        <v>314.06099999999998</v>
      </c>
      <c r="F30" s="89">
        <v>155.12899999999999</v>
      </c>
      <c r="G30" s="89">
        <v>0</v>
      </c>
      <c r="H30" s="89">
        <v>0</v>
      </c>
      <c r="I30" s="89">
        <v>0</v>
      </c>
      <c r="J30" s="89">
        <v>0</v>
      </c>
      <c r="K30" s="89">
        <v>192.62100000000001</v>
      </c>
      <c r="L30" s="89">
        <v>351.85300000000001</v>
      </c>
      <c r="M30" s="89">
        <v>328.68299999999999</v>
      </c>
      <c r="N30" s="49"/>
      <c r="O30" s="89">
        <f t="shared" si="7"/>
        <v>845.71699999999998</v>
      </c>
      <c r="P30" s="89">
        <f t="shared" si="0"/>
        <v>469.18999999999994</v>
      </c>
      <c r="Q30" s="89">
        <f t="shared" si="1"/>
        <v>0</v>
      </c>
      <c r="R30" s="89">
        <f t="shared" si="3"/>
        <v>873.15700000000004</v>
      </c>
      <c r="S30" s="89">
        <f t="shared" si="4"/>
        <v>2188.0639999999999</v>
      </c>
      <c r="T30" s="49"/>
      <c r="U30" s="89">
        <f t="shared" si="8"/>
        <v>2172.942</v>
      </c>
    </row>
    <row r="31" spans="1:21" x14ac:dyDescent="0.2">
      <c r="A31" s="132">
        <v>2017</v>
      </c>
      <c r="B31" s="89">
        <v>371.30900000000003</v>
      </c>
      <c r="C31" s="89">
        <v>318.39100000000002</v>
      </c>
      <c r="D31" s="89">
        <v>328.22199999999998</v>
      </c>
      <c r="E31" s="89">
        <v>128.12299999999999</v>
      </c>
      <c r="F31" s="89">
        <v>35.465000000000003</v>
      </c>
      <c r="G31" s="89">
        <v>0</v>
      </c>
      <c r="H31" s="89">
        <v>0</v>
      </c>
      <c r="I31" s="89">
        <v>0</v>
      </c>
      <c r="J31" s="89">
        <v>0</v>
      </c>
      <c r="K31" s="89">
        <v>114.056</v>
      </c>
      <c r="L31" s="89">
        <v>290.46899999999999</v>
      </c>
      <c r="M31" s="89">
        <v>334.58300000000003</v>
      </c>
      <c r="N31" s="49"/>
      <c r="O31" s="89">
        <f t="shared" si="7"/>
        <v>1017.922</v>
      </c>
      <c r="P31" s="89">
        <f t="shared" si="0"/>
        <v>163.58799999999999</v>
      </c>
      <c r="Q31" s="89">
        <f t="shared" si="1"/>
        <v>0</v>
      </c>
      <c r="R31" s="89">
        <f t="shared" si="3"/>
        <v>739.10799999999995</v>
      </c>
      <c r="S31" s="89">
        <f t="shared" si="4"/>
        <v>1920.6179999999999</v>
      </c>
      <c r="T31" s="49"/>
      <c r="U31" s="89">
        <f t="shared" si="8"/>
        <v>2054.6669999999999</v>
      </c>
    </row>
    <row r="32" spans="1:21" x14ac:dyDescent="0.2">
      <c r="A32" s="132">
        <v>2018</v>
      </c>
      <c r="B32" s="89">
        <v>342.52</v>
      </c>
      <c r="C32" s="89">
        <v>324.90499999999997</v>
      </c>
      <c r="D32" s="89">
        <v>364.91399999999999</v>
      </c>
      <c r="E32" s="89">
        <v>147.77799999999999</v>
      </c>
      <c r="F32" s="89">
        <v>63.83</v>
      </c>
      <c r="G32" s="89">
        <v>0</v>
      </c>
      <c r="H32" s="89">
        <v>0</v>
      </c>
      <c r="I32" s="89">
        <v>0</v>
      </c>
      <c r="J32" s="89">
        <v>0</v>
      </c>
      <c r="K32" s="89">
        <v>198.55799999999999</v>
      </c>
      <c r="L32" s="89">
        <v>337.39800000000002</v>
      </c>
      <c r="M32" s="89">
        <v>324.86799999999999</v>
      </c>
      <c r="N32" s="49"/>
      <c r="O32" s="89">
        <f t="shared" si="7"/>
        <v>1032.3389999999999</v>
      </c>
      <c r="P32" s="89">
        <f t="shared" si="0"/>
        <v>211.608</v>
      </c>
      <c r="Q32" s="89">
        <f t="shared" si="1"/>
        <v>0</v>
      </c>
      <c r="R32" s="89">
        <f t="shared" si="3"/>
        <v>860.82400000000007</v>
      </c>
      <c r="S32" s="89">
        <f t="shared" si="4"/>
        <v>2104.7709999999997</v>
      </c>
      <c r="T32" s="49"/>
      <c r="U32" s="89">
        <f t="shared" si="8"/>
        <v>1983.0549999999998</v>
      </c>
    </row>
    <row r="33" spans="1:21" x14ac:dyDescent="0.2">
      <c r="A33" s="132">
        <v>2019</v>
      </c>
      <c r="B33" s="89">
        <v>268.23599999999999</v>
      </c>
      <c r="C33" s="89">
        <v>277.81799999999998</v>
      </c>
      <c r="D33" s="89">
        <v>310.07400000000001</v>
      </c>
      <c r="E33" s="89">
        <v>213.762</v>
      </c>
      <c r="F33" s="89">
        <v>74.522999999999996</v>
      </c>
      <c r="G33" s="89">
        <v>0</v>
      </c>
      <c r="H33" s="89">
        <v>0</v>
      </c>
      <c r="I33" s="89">
        <v>0</v>
      </c>
      <c r="J33" s="89">
        <v>0</v>
      </c>
      <c r="K33" s="89">
        <v>200.797</v>
      </c>
      <c r="L33" s="89">
        <v>319.91699999999997</v>
      </c>
      <c r="M33" s="89">
        <v>311.161</v>
      </c>
      <c r="N33" s="49"/>
      <c r="O33" s="89">
        <f t="shared" si="7"/>
        <v>856.12799999999993</v>
      </c>
      <c r="P33" s="89">
        <f t="shared" si="0"/>
        <v>288.28499999999997</v>
      </c>
      <c r="Q33" s="89">
        <f t="shared" si="1"/>
        <v>0</v>
      </c>
      <c r="R33" s="89">
        <f t="shared" si="3"/>
        <v>831.875</v>
      </c>
      <c r="S33" s="89">
        <f t="shared" si="4"/>
        <v>1976.288</v>
      </c>
      <c r="T33" s="49"/>
      <c r="U33" s="89">
        <f t="shared" si="8"/>
        <v>2005.2370000000001</v>
      </c>
    </row>
    <row r="34" spans="1:21" x14ac:dyDescent="0.2">
      <c r="A34" s="132">
        <v>2020</v>
      </c>
      <c r="B34" s="89">
        <v>328.31599999999997</v>
      </c>
      <c r="C34" s="89">
        <v>295.10899999999998</v>
      </c>
      <c r="D34" s="89">
        <v>380.85500000000002</v>
      </c>
      <c r="E34" s="89">
        <v>174.327</v>
      </c>
      <c r="F34" s="89">
        <v>95.37</v>
      </c>
      <c r="G34" s="89">
        <v>0</v>
      </c>
      <c r="H34" s="89">
        <v>0</v>
      </c>
      <c r="I34" s="89">
        <v>0</v>
      </c>
      <c r="J34" s="89">
        <v>0</v>
      </c>
      <c r="K34" s="89">
        <v>122.42400000000001</v>
      </c>
      <c r="L34" s="89">
        <v>183.97</v>
      </c>
      <c r="M34" s="89">
        <v>286.19499999999999</v>
      </c>
      <c r="N34" s="49"/>
      <c r="O34" s="89">
        <f t="shared" si="7"/>
        <v>1004.28</v>
      </c>
      <c r="P34" s="89">
        <f>SUM(E34:G34)</f>
        <v>269.697</v>
      </c>
      <c r="Q34" s="89">
        <f t="shared" si="1"/>
        <v>0</v>
      </c>
      <c r="R34" s="89">
        <f t="shared" si="3"/>
        <v>592.58899999999994</v>
      </c>
      <c r="S34" s="89">
        <f t="shared" si="4"/>
        <v>1866.5659999999998</v>
      </c>
      <c r="T34" s="49"/>
      <c r="U34" s="89">
        <f t="shared" si="8"/>
        <v>2105.8519999999999</v>
      </c>
    </row>
    <row r="35" spans="1:21" x14ac:dyDescent="0.2">
      <c r="A35" s="132">
        <v>2021</v>
      </c>
      <c r="B35" s="89">
        <v>371.78500000000003</v>
      </c>
      <c r="C35" s="89">
        <v>302.85500000000002</v>
      </c>
      <c r="D35" s="89">
        <v>326.23</v>
      </c>
      <c r="E35" s="89">
        <v>242.922</v>
      </c>
      <c r="F35" s="89">
        <v>251.339</v>
      </c>
      <c r="G35" s="89">
        <v>2.4279999999999999</v>
      </c>
      <c r="H35" s="89">
        <v>0</v>
      </c>
      <c r="I35" s="89">
        <v>0</v>
      </c>
      <c r="J35" s="124">
        <v>0</v>
      </c>
      <c r="K35" s="124">
        <v>106.621</v>
      </c>
      <c r="L35" s="124">
        <v>262.34100000000001</v>
      </c>
      <c r="M35" s="124">
        <v>322.32499999999999</v>
      </c>
      <c r="N35" s="49"/>
      <c r="O35" s="89">
        <f>SUM(B35:D35)</f>
        <v>1000.8700000000001</v>
      </c>
      <c r="P35" s="89">
        <f>SUM(E35:G35)</f>
        <v>496.68899999999996</v>
      </c>
      <c r="Q35" s="89">
        <f>SUM(H35:J35)</f>
        <v>0</v>
      </c>
      <c r="R35" s="89">
        <f>SUM(K35:M35)</f>
        <v>691.28700000000003</v>
      </c>
      <c r="S35" s="89">
        <f>SUM(O35:R35)</f>
        <v>2188.8460000000005</v>
      </c>
      <c r="T35" s="49"/>
      <c r="U35" s="89">
        <f>R34+SUM(O35:Q35)</f>
        <v>2090.1480000000001</v>
      </c>
    </row>
    <row r="36" spans="1:21" x14ac:dyDescent="0.2">
      <c r="A36" s="132">
        <v>2022</v>
      </c>
      <c r="B36" s="89">
        <v>348.154</v>
      </c>
      <c r="C36" s="124">
        <v>312.13499999999999</v>
      </c>
      <c r="D36" s="124">
        <v>330.25799999999998</v>
      </c>
      <c r="E36" s="124">
        <v>146.93199999999999</v>
      </c>
      <c r="F36" s="124">
        <v>97.7</v>
      </c>
      <c r="G36" s="124">
        <v>7.944</v>
      </c>
      <c r="H36" s="124">
        <v>0</v>
      </c>
      <c r="I36" s="124">
        <v>0</v>
      </c>
      <c r="J36" s="124">
        <v>0</v>
      </c>
      <c r="K36" s="124">
        <v>104.31100000000001</v>
      </c>
      <c r="L36" s="124">
        <v>214.65899999999999</v>
      </c>
      <c r="M36" s="124">
        <v>312.67500000000001</v>
      </c>
      <c r="N36" s="49"/>
      <c r="O36" s="89">
        <f>SUM(B36:D36)</f>
        <v>990.54700000000003</v>
      </c>
      <c r="P36" s="89">
        <f>SUM(E36:G36)</f>
        <v>252.57599999999999</v>
      </c>
      <c r="Q36" s="89">
        <f>SUM(H36:J36)</f>
        <v>0</v>
      </c>
      <c r="R36" s="89">
        <f>SUM(K36:M36)</f>
        <v>631.64499999999998</v>
      </c>
      <c r="S36" s="89">
        <f>SUM(O36:R36)</f>
        <v>1874.768</v>
      </c>
      <c r="T36" s="49"/>
      <c r="U36" s="89">
        <f>R35+SUM(O36:Q36)</f>
        <v>1934.41</v>
      </c>
    </row>
    <row r="37" spans="1:21" x14ac:dyDescent="0.2">
      <c r="A37" s="132">
        <v>2023</v>
      </c>
      <c r="B37" s="89">
        <v>345.03500000000003</v>
      </c>
      <c r="C37" s="124">
        <v>299.15699999999998</v>
      </c>
      <c r="D37" s="124">
        <v>341.83800000000002</v>
      </c>
      <c r="E37" s="124">
        <v>211.29400000000001</v>
      </c>
      <c r="F37" s="124">
        <v>134.16499999999999</v>
      </c>
      <c r="G37" s="124">
        <v>22.116</v>
      </c>
      <c r="H37" s="124">
        <v>0</v>
      </c>
      <c r="I37" s="124">
        <v>0</v>
      </c>
      <c r="J37" s="124">
        <v>0</v>
      </c>
      <c r="K37" s="124">
        <v>137.05500000000001</v>
      </c>
      <c r="L37" s="124">
        <v>272.79700000000003</v>
      </c>
      <c r="M37" s="124">
        <v>302.27999999999997</v>
      </c>
      <c r="N37" s="49"/>
      <c r="O37" s="89">
        <f>SUM(B37:D37)</f>
        <v>986.03</v>
      </c>
      <c r="P37" s="89">
        <f>SUM(E37:G37)</f>
        <v>367.57499999999999</v>
      </c>
      <c r="Q37" s="89">
        <f>SUM(H37:J37)</f>
        <v>0</v>
      </c>
      <c r="R37" s="89">
        <f>SUM(K37:M37)</f>
        <v>712.13200000000006</v>
      </c>
      <c r="S37" s="89">
        <f>SUM(O37:R37)</f>
        <v>2065.7370000000001</v>
      </c>
      <c r="T37" s="49"/>
      <c r="U37" s="89">
        <f>R36+SUM(O37:Q37)</f>
        <v>1985.25</v>
      </c>
    </row>
    <row r="38" spans="1:21" x14ac:dyDescent="0.2">
      <c r="A38" s="132">
        <v>2024</v>
      </c>
      <c r="B38" s="89">
        <v>273.62900000000002</v>
      </c>
      <c r="C38" s="124">
        <v>304.45999999999998</v>
      </c>
      <c r="D38" s="124">
        <v>311.96699999999998</v>
      </c>
      <c r="E38" s="124">
        <v>289.03100000000001</v>
      </c>
      <c r="F38" s="124">
        <v>174.14400000000001</v>
      </c>
      <c r="G38" s="124">
        <v>11.689</v>
      </c>
      <c r="H38" s="124">
        <v>0</v>
      </c>
      <c r="I38" s="124">
        <v>0</v>
      </c>
      <c r="J38" s="124">
        <v>0</v>
      </c>
      <c r="K38" s="124">
        <v>99.165999999999997</v>
      </c>
      <c r="L38" s="124">
        <v>309.63900000000001</v>
      </c>
      <c r="M38" s="124" t="s">
        <v>152</v>
      </c>
      <c r="N38" s="49"/>
      <c r="O38" s="89">
        <f>SUM(B38:D38)</f>
        <v>890.05599999999993</v>
      </c>
      <c r="P38" s="89">
        <f>SUM(E38:G38)</f>
        <v>474.86400000000003</v>
      </c>
      <c r="Q38" s="89">
        <f>SUM(H38:J38)</f>
        <v>0</v>
      </c>
      <c r="R38" s="124" t="s">
        <v>152</v>
      </c>
      <c r="S38" s="124" t="s">
        <v>152</v>
      </c>
      <c r="T38" s="49"/>
      <c r="U38" s="89">
        <f>R37+SUM(O38:Q38)</f>
        <v>2077.0520000000001</v>
      </c>
    </row>
    <row r="39" spans="1:21" x14ac:dyDescent="0.2">
      <c r="A39" s="207" t="s">
        <v>176</v>
      </c>
      <c r="B39" s="89"/>
      <c r="C39" s="89"/>
      <c r="D39" s="89"/>
      <c r="E39" s="89"/>
      <c r="F39" s="89"/>
      <c r="G39" s="89"/>
      <c r="H39" s="89"/>
      <c r="I39" s="89"/>
      <c r="J39" s="89"/>
      <c r="K39" s="89"/>
      <c r="L39" s="89"/>
      <c r="M39" s="89"/>
      <c r="N39" s="49"/>
      <c r="O39" s="89"/>
      <c r="P39" s="89"/>
      <c r="Q39" s="89"/>
      <c r="R39" s="89"/>
      <c r="S39" s="89"/>
      <c r="T39" s="49"/>
      <c r="U39" s="215"/>
    </row>
    <row r="40" spans="1:21" x14ac:dyDescent="0.2">
      <c r="A40" s="33">
        <v>1992</v>
      </c>
      <c r="B40" s="89">
        <v>0</v>
      </c>
      <c r="C40" s="89">
        <v>0</v>
      </c>
      <c r="D40" s="89">
        <v>0</v>
      </c>
      <c r="E40" s="89">
        <v>0</v>
      </c>
      <c r="F40" s="89">
        <v>0</v>
      </c>
      <c r="G40" s="89">
        <v>0</v>
      </c>
      <c r="H40" s="89">
        <v>0</v>
      </c>
      <c r="I40" s="89">
        <v>0</v>
      </c>
      <c r="J40" s="89">
        <v>0.7</v>
      </c>
      <c r="K40" s="89">
        <v>233.089</v>
      </c>
      <c r="L40" s="89">
        <v>353.78100000000001</v>
      </c>
      <c r="M40" s="89">
        <v>274.25400000000002</v>
      </c>
      <c r="N40" s="49"/>
      <c r="O40" s="89">
        <f t="shared" ref="O40:O68" si="9">SUM(B40:D40)</f>
        <v>0</v>
      </c>
      <c r="P40" s="89">
        <v>0</v>
      </c>
      <c r="Q40" s="89">
        <f t="shared" ref="Q40:Q68" si="10">SUM(H40:J40)</f>
        <v>0.7</v>
      </c>
      <c r="R40" s="89">
        <f t="shared" ref="R40:R67" si="11">SUM(K40:M40)</f>
        <v>861.12400000000002</v>
      </c>
      <c r="S40" s="89">
        <f t="shared" ref="S40:S68" si="12">SUM(B40:M40)</f>
        <v>861.82399999999996</v>
      </c>
      <c r="T40" s="49"/>
      <c r="U40" s="89">
        <v>763.4</v>
      </c>
    </row>
    <row r="41" spans="1:21" x14ac:dyDescent="0.2">
      <c r="A41" s="33">
        <v>1993</v>
      </c>
      <c r="B41" s="89">
        <v>14.37</v>
      </c>
      <c r="C41" s="89">
        <v>0</v>
      </c>
      <c r="D41" s="89">
        <v>0</v>
      </c>
      <c r="E41" s="89">
        <v>0</v>
      </c>
      <c r="F41" s="89">
        <v>0</v>
      </c>
      <c r="G41" s="89">
        <v>0</v>
      </c>
      <c r="H41" s="89">
        <v>0</v>
      </c>
      <c r="I41" s="89">
        <v>0</v>
      </c>
      <c r="J41" s="89">
        <v>0</v>
      </c>
      <c r="K41" s="89">
        <v>276.8</v>
      </c>
      <c r="L41" s="89">
        <v>372.3</v>
      </c>
      <c r="M41" s="89">
        <v>241</v>
      </c>
      <c r="N41" s="49"/>
      <c r="O41" s="89">
        <f t="shared" si="9"/>
        <v>14.37</v>
      </c>
      <c r="P41" s="89">
        <v>0</v>
      </c>
      <c r="Q41" s="89">
        <f t="shared" si="10"/>
        <v>0</v>
      </c>
      <c r="R41" s="89">
        <f t="shared" si="11"/>
        <v>890.1</v>
      </c>
      <c r="S41" s="89">
        <f t="shared" si="12"/>
        <v>904.47</v>
      </c>
      <c r="T41" s="49"/>
      <c r="U41" s="89">
        <f>R40+SUM(O41:Q41)</f>
        <v>875.49400000000003</v>
      </c>
    </row>
    <row r="42" spans="1:21" x14ac:dyDescent="0.2">
      <c r="A42" s="33">
        <v>1994</v>
      </c>
      <c r="B42" s="89">
        <v>0</v>
      </c>
      <c r="C42" s="89">
        <v>0.2</v>
      </c>
      <c r="D42" s="89">
        <v>0</v>
      </c>
      <c r="E42" s="89">
        <v>0</v>
      </c>
      <c r="F42" s="89">
        <v>0</v>
      </c>
      <c r="G42" s="89">
        <v>0</v>
      </c>
      <c r="H42" s="89">
        <v>0</v>
      </c>
      <c r="I42" s="89">
        <v>0</v>
      </c>
      <c r="J42" s="89">
        <v>2.4</v>
      </c>
      <c r="K42" s="89">
        <v>298.3</v>
      </c>
      <c r="L42" s="89">
        <v>438.23</v>
      </c>
      <c r="M42" s="89">
        <v>279.74</v>
      </c>
      <c r="N42" s="49"/>
      <c r="O42" s="89">
        <f t="shared" si="9"/>
        <v>0.2</v>
      </c>
      <c r="P42" s="89">
        <v>0</v>
      </c>
      <c r="Q42" s="89">
        <f t="shared" si="10"/>
        <v>2.4</v>
      </c>
      <c r="R42" s="89">
        <f t="shared" si="11"/>
        <v>1016.27</v>
      </c>
      <c r="S42" s="89">
        <f t="shared" si="12"/>
        <v>1018.8700000000001</v>
      </c>
      <c r="T42" s="49"/>
      <c r="U42" s="89">
        <f t="shared" ref="U42:U47" si="13">R41+SUM(O42:Q42)</f>
        <v>892.7</v>
      </c>
    </row>
    <row r="43" spans="1:21" x14ac:dyDescent="0.2">
      <c r="A43" s="35">
        <v>1995</v>
      </c>
      <c r="B43" s="89">
        <v>2.42</v>
      </c>
      <c r="C43" s="89">
        <v>0</v>
      </c>
      <c r="D43" s="89">
        <v>8.5999999999999993E-2</v>
      </c>
      <c r="E43" s="89">
        <v>0</v>
      </c>
      <c r="F43" s="89">
        <v>0</v>
      </c>
      <c r="G43" s="89">
        <v>0</v>
      </c>
      <c r="H43" s="89">
        <v>0</v>
      </c>
      <c r="I43" s="89">
        <v>0</v>
      </c>
      <c r="J43" s="89">
        <v>0</v>
      </c>
      <c r="K43" s="89">
        <v>294.39499999999998</v>
      </c>
      <c r="L43" s="89">
        <v>414.20699999999999</v>
      </c>
      <c r="M43" s="89">
        <v>344.25700000000001</v>
      </c>
      <c r="N43" s="49"/>
      <c r="O43" s="89">
        <f>SUM(B43:D43)</f>
        <v>2.5059999999999998</v>
      </c>
      <c r="P43" s="89">
        <v>0</v>
      </c>
      <c r="Q43" s="89">
        <f t="shared" si="10"/>
        <v>0</v>
      </c>
      <c r="R43" s="89">
        <f>SUM(K43:M43)</f>
        <v>1052.8589999999999</v>
      </c>
      <c r="S43" s="89">
        <f t="shared" si="12"/>
        <v>1055.365</v>
      </c>
      <c r="T43" s="49"/>
      <c r="U43" s="89">
        <f>R42+SUM(O43:Q43)</f>
        <v>1018.776</v>
      </c>
    </row>
    <row r="44" spans="1:21" x14ac:dyDescent="0.2">
      <c r="A44" s="35">
        <v>1996</v>
      </c>
      <c r="B44" s="89">
        <v>4.25</v>
      </c>
      <c r="C44" s="89">
        <v>0</v>
      </c>
      <c r="D44" s="89">
        <v>0</v>
      </c>
      <c r="E44" s="89">
        <v>4.1000000000000002E-2</v>
      </c>
      <c r="F44" s="89">
        <v>0</v>
      </c>
      <c r="G44" s="89">
        <v>0</v>
      </c>
      <c r="H44" s="89">
        <v>0</v>
      </c>
      <c r="I44" s="89">
        <v>0</v>
      </c>
      <c r="J44" s="89">
        <v>0</v>
      </c>
      <c r="K44" s="89">
        <v>235.76900000000001</v>
      </c>
      <c r="L44" s="89">
        <v>421.00799999999998</v>
      </c>
      <c r="M44" s="89">
        <v>381.66</v>
      </c>
      <c r="N44" s="49"/>
      <c r="O44" s="89">
        <f t="shared" si="9"/>
        <v>4.25</v>
      </c>
      <c r="P44" s="89">
        <v>0</v>
      </c>
      <c r="Q44" s="89">
        <f t="shared" si="10"/>
        <v>0</v>
      </c>
      <c r="R44" s="89">
        <f t="shared" si="11"/>
        <v>1038.4370000000001</v>
      </c>
      <c r="S44" s="89">
        <f t="shared" si="12"/>
        <v>1042.7280000000001</v>
      </c>
      <c r="T44" s="49"/>
      <c r="U44" s="89">
        <f>R43+SUM(O44:Q44)</f>
        <v>1057.1089999999999</v>
      </c>
    </row>
    <row r="45" spans="1:21" x14ac:dyDescent="0.2">
      <c r="A45" s="35">
        <v>1997</v>
      </c>
      <c r="B45" s="89">
        <v>7.4189999999999996</v>
      </c>
      <c r="C45" s="89">
        <v>0</v>
      </c>
      <c r="D45" s="89">
        <v>0.20699999999999999</v>
      </c>
      <c r="E45" s="89">
        <v>0</v>
      </c>
      <c r="F45" s="89">
        <v>0</v>
      </c>
      <c r="G45" s="89">
        <v>0</v>
      </c>
      <c r="H45" s="89">
        <v>0</v>
      </c>
      <c r="I45" s="89">
        <v>0</v>
      </c>
      <c r="J45" s="89">
        <v>8.4849999999999994</v>
      </c>
      <c r="K45" s="89">
        <v>406.32900000000001</v>
      </c>
      <c r="L45" s="89">
        <v>472.67200000000003</v>
      </c>
      <c r="M45" s="89">
        <v>373.68900000000002</v>
      </c>
      <c r="N45" s="49"/>
      <c r="O45" s="89">
        <f t="shared" si="9"/>
        <v>7.6259999999999994</v>
      </c>
      <c r="P45" s="89">
        <v>0</v>
      </c>
      <c r="Q45" s="89">
        <f t="shared" si="10"/>
        <v>8.4849999999999994</v>
      </c>
      <c r="R45" s="89">
        <f t="shared" si="11"/>
        <v>1252.69</v>
      </c>
      <c r="S45" s="89">
        <f t="shared" si="12"/>
        <v>1268.8010000000002</v>
      </c>
      <c r="T45" s="49"/>
      <c r="U45" s="89">
        <f t="shared" si="13"/>
        <v>1054.5480000000002</v>
      </c>
    </row>
    <row r="46" spans="1:21" x14ac:dyDescent="0.2">
      <c r="A46" s="35">
        <v>1998</v>
      </c>
      <c r="B46" s="89">
        <v>9.1539999999999999</v>
      </c>
      <c r="C46" s="89">
        <v>0</v>
      </c>
      <c r="D46" s="89">
        <v>0</v>
      </c>
      <c r="E46" s="89">
        <v>0</v>
      </c>
      <c r="F46" s="89">
        <v>0</v>
      </c>
      <c r="G46" s="89">
        <v>0</v>
      </c>
      <c r="H46" s="89">
        <v>0</v>
      </c>
      <c r="I46" s="89">
        <v>0</v>
      </c>
      <c r="J46" s="89">
        <v>0</v>
      </c>
      <c r="K46" s="89">
        <v>289.185</v>
      </c>
      <c r="L46" s="89">
        <v>420.76600000000002</v>
      </c>
      <c r="M46" s="89">
        <v>452.971</v>
      </c>
      <c r="N46" s="49"/>
      <c r="O46" s="89">
        <f t="shared" si="9"/>
        <v>9.1539999999999999</v>
      </c>
      <c r="P46" s="89">
        <v>0</v>
      </c>
      <c r="Q46" s="89">
        <f t="shared" si="10"/>
        <v>0</v>
      </c>
      <c r="R46" s="89">
        <f t="shared" si="11"/>
        <v>1162.922</v>
      </c>
      <c r="S46" s="89">
        <f t="shared" si="12"/>
        <v>1172.076</v>
      </c>
      <c r="T46" s="49"/>
      <c r="U46" s="89">
        <f t="shared" si="13"/>
        <v>1261.8440000000001</v>
      </c>
    </row>
    <row r="47" spans="1:21" x14ac:dyDescent="0.2">
      <c r="A47" s="35">
        <v>1999</v>
      </c>
      <c r="B47" s="89">
        <v>94.778999999999996</v>
      </c>
      <c r="C47" s="89">
        <v>0</v>
      </c>
      <c r="D47" s="89">
        <v>0</v>
      </c>
      <c r="E47" s="89">
        <v>0</v>
      </c>
      <c r="F47" s="89">
        <v>0</v>
      </c>
      <c r="G47" s="89">
        <v>0</v>
      </c>
      <c r="H47" s="89">
        <v>0</v>
      </c>
      <c r="I47" s="89">
        <v>0</v>
      </c>
      <c r="J47" s="89">
        <v>69.3</v>
      </c>
      <c r="K47" s="89">
        <v>506.04500000000002</v>
      </c>
      <c r="L47" s="89">
        <v>515.10500000000002</v>
      </c>
      <c r="M47" s="89">
        <v>531.41999999999996</v>
      </c>
      <c r="N47" s="49"/>
      <c r="O47" s="89">
        <f t="shared" si="9"/>
        <v>94.778999999999996</v>
      </c>
      <c r="P47" s="89">
        <f t="shared" ref="P47:P68" si="14">SUM(E47:G47)</f>
        <v>0</v>
      </c>
      <c r="Q47" s="89">
        <f t="shared" si="10"/>
        <v>69.3</v>
      </c>
      <c r="R47" s="89">
        <f t="shared" si="11"/>
        <v>1552.5700000000002</v>
      </c>
      <c r="S47" s="89">
        <f t="shared" si="12"/>
        <v>1716.6489999999999</v>
      </c>
      <c r="T47" s="49"/>
      <c r="U47" s="89">
        <f t="shared" si="13"/>
        <v>1327.001</v>
      </c>
    </row>
    <row r="48" spans="1:21" x14ac:dyDescent="0.2">
      <c r="A48" s="33">
        <v>2000</v>
      </c>
      <c r="B48" s="89">
        <v>67.087999999999994</v>
      </c>
      <c r="C48" s="89">
        <v>0</v>
      </c>
      <c r="D48" s="89">
        <v>0</v>
      </c>
      <c r="E48" s="89">
        <v>0</v>
      </c>
      <c r="F48" s="89">
        <v>0</v>
      </c>
      <c r="G48" s="89">
        <v>0</v>
      </c>
      <c r="H48" s="89">
        <v>0</v>
      </c>
      <c r="I48" s="89">
        <v>0</v>
      </c>
      <c r="J48" s="89">
        <v>42.521999999999998</v>
      </c>
      <c r="K48" s="89">
        <v>510.81900000000002</v>
      </c>
      <c r="L48" s="89">
        <v>479.35399999999998</v>
      </c>
      <c r="M48" s="89">
        <v>472.59199999999998</v>
      </c>
      <c r="N48" s="49"/>
      <c r="O48" s="89">
        <f t="shared" si="9"/>
        <v>67.087999999999994</v>
      </c>
      <c r="P48" s="89">
        <f t="shared" si="14"/>
        <v>0</v>
      </c>
      <c r="Q48" s="89">
        <f t="shared" si="10"/>
        <v>42.521999999999998</v>
      </c>
      <c r="R48" s="89">
        <f t="shared" si="11"/>
        <v>1462.7649999999999</v>
      </c>
      <c r="S48" s="89">
        <f t="shared" si="12"/>
        <v>1572.375</v>
      </c>
      <c r="T48" s="49"/>
      <c r="U48" s="89">
        <f>R47+SUM(O48:Q48)</f>
        <v>1662.18</v>
      </c>
    </row>
    <row r="49" spans="1:21" x14ac:dyDescent="0.2">
      <c r="A49" s="132">
        <v>2001</v>
      </c>
      <c r="B49" s="89">
        <v>59.884</v>
      </c>
      <c r="C49" s="89">
        <v>0</v>
      </c>
      <c r="D49" s="89">
        <v>-1.3120000000000001</v>
      </c>
      <c r="E49" s="89">
        <v>0</v>
      </c>
      <c r="F49" s="89">
        <v>0</v>
      </c>
      <c r="G49" s="89">
        <v>0</v>
      </c>
      <c r="H49" s="89">
        <v>0</v>
      </c>
      <c r="I49" s="89">
        <v>0</v>
      </c>
      <c r="J49" s="89">
        <v>63.753</v>
      </c>
      <c r="K49" s="89">
        <f>537.473-2.827</f>
        <v>534.64599999999996</v>
      </c>
      <c r="L49" s="89">
        <f>557.312-2.922</f>
        <v>554.39</v>
      </c>
      <c r="M49" s="89">
        <f>411.052-9.585-0.861</f>
        <v>400.60600000000005</v>
      </c>
      <c r="N49" s="49"/>
      <c r="O49" s="89">
        <f t="shared" si="9"/>
        <v>58.572000000000003</v>
      </c>
      <c r="P49" s="89">
        <f t="shared" si="14"/>
        <v>0</v>
      </c>
      <c r="Q49" s="89">
        <f t="shared" si="10"/>
        <v>63.753</v>
      </c>
      <c r="R49" s="89">
        <f t="shared" si="11"/>
        <v>1489.6420000000001</v>
      </c>
      <c r="S49" s="89">
        <f t="shared" si="12"/>
        <v>1611.9669999999999</v>
      </c>
      <c r="T49" s="49"/>
      <c r="U49" s="89">
        <f t="shared" ref="U49:U61" si="15">R48+SUM(O49:Q49)</f>
        <v>1585.09</v>
      </c>
    </row>
    <row r="50" spans="1:21" x14ac:dyDescent="0.2">
      <c r="A50" s="110">
        <v>2002</v>
      </c>
      <c r="B50" s="89">
        <v>43.841999999999999</v>
      </c>
      <c r="C50" s="89">
        <v>0</v>
      </c>
      <c r="D50" s="89">
        <v>0</v>
      </c>
      <c r="E50" s="89">
        <v>0</v>
      </c>
      <c r="F50" s="89">
        <v>0</v>
      </c>
      <c r="G50" s="89">
        <v>0</v>
      </c>
      <c r="H50" s="89">
        <v>0</v>
      </c>
      <c r="I50" s="89">
        <v>0.70299999999999996</v>
      </c>
      <c r="J50" s="89">
        <v>45.744</v>
      </c>
      <c r="K50" s="89">
        <v>296.88400000000001</v>
      </c>
      <c r="L50" s="89">
        <v>416.959</v>
      </c>
      <c r="M50" s="89">
        <v>445.27600000000001</v>
      </c>
      <c r="N50" s="49"/>
      <c r="O50" s="89">
        <f t="shared" si="9"/>
        <v>43.841999999999999</v>
      </c>
      <c r="P50" s="89">
        <f t="shared" si="14"/>
        <v>0</v>
      </c>
      <c r="Q50" s="89">
        <f t="shared" si="10"/>
        <v>46.447000000000003</v>
      </c>
      <c r="R50" s="89">
        <f t="shared" si="11"/>
        <v>1159.1190000000001</v>
      </c>
      <c r="S50" s="89">
        <f t="shared" si="12"/>
        <v>1249.4080000000001</v>
      </c>
      <c r="T50" s="49"/>
      <c r="U50" s="89">
        <f t="shared" si="15"/>
        <v>1579.931</v>
      </c>
    </row>
    <row r="51" spans="1:21" x14ac:dyDescent="0.2">
      <c r="A51" s="110">
        <v>2003</v>
      </c>
      <c r="B51" s="89">
        <v>128.29900000000001</v>
      </c>
      <c r="C51" s="89">
        <v>0</v>
      </c>
      <c r="D51" s="89">
        <v>0</v>
      </c>
      <c r="E51" s="89">
        <v>0</v>
      </c>
      <c r="F51" s="89">
        <v>0</v>
      </c>
      <c r="G51" s="89">
        <v>0</v>
      </c>
      <c r="H51" s="89">
        <v>0</v>
      </c>
      <c r="I51" s="89">
        <v>0</v>
      </c>
      <c r="J51" s="89">
        <v>79.741</v>
      </c>
      <c r="K51" s="89">
        <v>502.78500000000003</v>
      </c>
      <c r="L51" s="89">
        <v>515.98400000000004</v>
      </c>
      <c r="M51" s="89">
        <v>318.28300000000002</v>
      </c>
      <c r="N51" s="49"/>
      <c r="O51" s="89">
        <f t="shared" si="9"/>
        <v>128.29900000000001</v>
      </c>
      <c r="P51" s="89">
        <f t="shared" si="14"/>
        <v>0</v>
      </c>
      <c r="Q51" s="89">
        <f t="shared" si="10"/>
        <v>79.741</v>
      </c>
      <c r="R51" s="89">
        <f t="shared" si="11"/>
        <v>1337.0520000000001</v>
      </c>
      <c r="S51" s="89">
        <f t="shared" si="12"/>
        <v>1545.0920000000001</v>
      </c>
      <c r="T51" s="49"/>
      <c r="U51" s="89">
        <f t="shared" si="15"/>
        <v>1367.1590000000001</v>
      </c>
    </row>
    <row r="52" spans="1:21" x14ac:dyDescent="0.2">
      <c r="A52" s="110">
        <v>2004</v>
      </c>
      <c r="B52" s="89">
        <v>0</v>
      </c>
      <c r="C52" s="89">
        <v>0</v>
      </c>
      <c r="D52" s="89">
        <v>0</v>
      </c>
      <c r="E52" s="89">
        <v>0</v>
      </c>
      <c r="F52" s="89">
        <v>0</v>
      </c>
      <c r="G52" s="89">
        <v>0</v>
      </c>
      <c r="H52" s="89">
        <v>0</v>
      </c>
      <c r="I52" s="89">
        <v>0</v>
      </c>
      <c r="J52" s="89">
        <v>40.012</v>
      </c>
      <c r="K52" s="89">
        <v>420.84800000000001</v>
      </c>
      <c r="L52" s="89">
        <v>473.65899999999999</v>
      </c>
      <c r="M52" s="89">
        <v>261.541</v>
      </c>
      <c r="N52" s="49"/>
      <c r="O52" s="89">
        <f t="shared" si="9"/>
        <v>0</v>
      </c>
      <c r="P52" s="89">
        <f t="shared" si="14"/>
        <v>0</v>
      </c>
      <c r="Q52" s="89">
        <f>SUM(H52:J52)</f>
        <v>40.012</v>
      </c>
      <c r="R52" s="89">
        <f t="shared" si="11"/>
        <v>1156.048</v>
      </c>
      <c r="S52" s="89">
        <f t="shared" si="12"/>
        <v>1196.06</v>
      </c>
      <c r="T52" s="49"/>
      <c r="U52" s="89">
        <f t="shared" si="15"/>
        <v>1377.0640000000001</v>
      </c>
    </row>
    <row r="53" spans="1:21" x14ac:dyDescent="0.2">
      <c r="A53" s="110">
        <v>2005</v>
      </c>
      <c r="B53" s="89">
        <v>0</v>
      </c>
      <c r="C53" s="89">
        <v>0</v>
      </c>
      <c r="D53" s="89">
        <v>0</v>
      </c>
      <c r="E53" s="89">
        <v>0</v>
      </c>
      <c r="F53" s="89">
        <v>0</v>
      </c>
      <c r="G53" s="89">
        <v>0</v>
      </c>
      <c r="H53" s="89">
        <v>0</v>
      </c>
      <c r="I53" s="89">
        <v>0</v>
      </c>
      <c r="J53" s="89">
        <v>0.72499999999999998</v>
      </c>
      <c r="K53" s="89">
        <v>349.411</v>
      </c>
      <c r="L53" s="89">
        <v>483.35300000000001</v>
      </c>
      <c r="M53" s="89">
        <v>352.77199999999999</v>
      </c>
      <c r="N53" s="49"/>
      <c r="O53" s="89">
        <f t="shared" si="9"/>
        <v>0</v>
      </c>
      <c r="P53" s="89">
        <f t="shared" si="14"/>
        <v>0</v>
      </c>
      <c r="Q53" s="89">
        <v>0</v>
      </c>
      <c r="R53" s="89">
        <f t="shared" si="11"/>
        <v>1185.5360000000001</v>
      </c>
      <c r="S53" s="89">
        <f t="shared" si="12"/>
        <v>1186.261</v>
      </c>
      <c r="T53" s="49"/>
      <c r="U53" s="89">
        <f t="shared" si="15"/>
        <v>1156.048</v>
      </c>
    </row>
    <row r="54" spans="1:21" x14ac:dyDescent="0.2">
      <c r="A54" s="110">
        <v>2006</v>
      </c>
      <c r="B54" s="89">
        <v>1.96</v>
      </c>
      <c r="C54" s="89">
        <v>0</v>
      </c>
      <c r="D54" s="89">
        <v>0</v>
      </c>
      <c r="E54" s="89">
        <v>0</v>
      </c>
      <c r="F54" s="89">
        <v>0</v>
      </c>
      <c r="G54" s="89">
        <v>0</v>
      </c>
      <c r="H54" s="89">
        <v>0</v>
      </c>
      <c r="I54" s="89">
        <v>0</v>
      </c>
      <c r="J54" s="89">
        <v>2.8359999999999999</v>
      </c>
      <c r="K54" s="89">
        <v>337.63600000000002</v>
      </c>
      <c r="L54" s="89">
        <v>469.45800000000003</v>
      </c>
      <c r="M54" s="89">
        <v>426.505</v>
      </c>
      <c r="N54" s="49"/>
      <c r="O54" s="89">
        <f t="shared" si="9"/>
        <v>1.96</v>
      </c>
      <c r="P54" s="89">
        <f t="shared" si="14"/>
        <v>0</v>
      </c>
      <c r="Q54" s="89">
        <f t="shared" si="10"/>
        <v>2.8359999999999999</v>
      </c>
      <c r="R54" s="89">
        <f t="shared" si="11"/>
        <v>1233.5990000000002</v>
      </c>
      <c r="S54" s="89">
        <f t="shared" si="12"/>
        <v>1238.395</v>
      </c>
      <c r="T54" s="49"/>
      <c r="U54" s="89">
        <f t="shared" si="15"/>
        <v>1190.3320000000001</v>
      </c>
    </row>
    <row r="55" spans="1:21" x14ac:dyDescent="0.2">
      <c r="A55" s="110">
        <v>2007</v>
      </c>
      <c r="B55" s="89">
        <v>45.610999999999997</v>
      </c>
      <c r="C55" s="89">
        <v>0</v>
      </c>
      <c r="D55" s="89">
        <v>0</v>
      </c>
      <c r="E55" s="89">
        <v>0</v>
      </c>
      <c r="F55" s="89">
        <v>0</v>
      </c>
      <c r="G55" s="89">
        <v>0</v>
      </c>
      <c r="H55" s="89">
        <v>0</v>
      </c>
      <c r="I55" s="89">
        <v>0</v>
      </c>
      <c r="J55" s="89">
        <v>40.938000000000002</v>
      </c>
      <c r="K55" s="89">
        <v>440.41899999999998</v>
      </c>
      <c r="L55" s="89">
        <v>499.24200000000002</v>
      </c>
      <c r="M55" s="89">
        <v>473.15100000000001</v>
      </c>
      <c r="N55" s="49"/>
      <c r="O55" s="89">
        <f t="shared" si="9"/>
        <v>45.610999999999997</v>
      </c>
      <c r="P55" s="89">
        <f t="shared" si="14"/>
        <v>0</v>
      </c>
      <c r="Q55" s="89">
        <f t="shared" si="10"/>
        <v>40.938000000000002</v>
      </c>
      <c r="R55" s="89">
        <f t="shared" si="11"/>
        <v>1412.8120000000001</v>
      </c>
      <c r="S55" s="89">
        <f t="shared" si="12"/>
        <v>1499.3610000000001</v>
      </c>
      <c r="T55" s="49"/>
      <c r="U55" s="89">
        <f t="shared" si="15"/>
        <v>1320.1480000000001</v>
      </c>
    </row>
    <row r="56" spans="1:21" x14ac:dyDescent="0.2">
      <c r="A56" s="110">
        <v>2008</v>
      </c>
      <c r="B56" s="89">
        <v>33.4</v>
      </c>
      <c r="C56" s="89">
        <v>0</v>
      </c>
      <c r="D56" s="89">
        <v>0</v>
      </c>
      <c r="E56" s="89">
        <v>0</v>
      </c>
      <c r="F56" s="89">
        <v>0</v>
      </c>
      <c r="G56" s="89">
        <v>0</v>
      </c>
      <c r="H56" s="89">
        <v>0</v>
      </c>
      <c r="I56" s="89">
        <v>0</v>
      </c>
      <c r="J56" s="89">
        <v>0</v>
      </c>
      <c r="K56" s="89">
        <v>311.30099999999999</v>
      </c>
      <c r="L56" s="89">
        <v>514.63400000000001</v>
      </c>
      <c r="M56" s="89">
        <v>510.35899999999998</v>
      </c>
      <c r="N56" s="49"/>
      <c r="O56" s="89">
        <f t="shared" si="9"/>
        <v>33.4</v>
      </c>
      <c r="P56" s="89">
        <f t="shared" si="14"/>
        <v>0</v>
      </c>
      <c r="Q56" s="89">
        <f t="shared" si="10"/>
        <v>0</v>
      </c>
      <c r="R56" s="89">
        <f t="shared" si="11"/>
        <v>1336.2939999999999</v>
      </c>
      <c r="S56" s="89">
        <f t="shared" si="12"/>
        <v>1369.694</v>
      </c>
      <c r="T56" s="49"/>
      <c r="U56" s="89">
        <f t="shared" si="15"/>
        <v>1446.2120000000002</v>
      </c>
    </row>
    <row r="57" spans="1:21" x14ac:dyDescent="0.2">
      <c r="A57" s="110">
        <v>2009</v>
      </c>
      <c r="B57" s="89">
        <v>60.609000000000002</v>
      </c>
      <c r="C57" s="89">
        <v>0</v>
      </c>
      <c r="D57" s="89">
        <v>0</v>
      </c>
      <c r="E57" s="89">
        <v>0</v>
      </c>
      <c r="F57" s="89">
        <v>0</v>
      </c>
      <c r="G57" s="89">
        <v>0</v>
      </c>
      <c r="H57" s="89">
        <v>0</v>
      </c>
      <c r="I57" s="89">
        <v>0</v>
      </c>
      <c r="J57" s="89">
        <v>0</v>
      </c>
      <c r="K57" s="89">
        <v>339.99599999999998</v>
      </c>
      <c r="L57" s="89">
        <v>478.35899999999998</v>
      </c>
      <c r="M57" s="89">
        <v>465.59</v>
      </c>
      <c r="N57" s="49"/>
      <c r="O57" s="89">
        <f t="shared" si="9"/>
        <v>60.609000000000002</v>
      </c>
      <c r="P57" s="89">
        <f t="shared" si="14"/>
        <v>0</v>
      </c>
      <c r="Q57" s="89">
        <f t="shared" si="10"/>
        <v>0</v>
      </c>
      <c r="R57" s="89">
        <f t="shared" si="11"/>
        <v>1283.9449999999999</v>
      </c>
      <c r="S57" s="89">
        <f t="shared" si="12"/>
        <v>1344.5539999999999</v>
      </c>
      <c r="T57" s="49"/>
      <c r="U57" s="89">
        <f t="shared" si="15"/>
        <v>1396.9029999999998</v>
      </c>
    </row>
    <row r="58" spans="1:21" x14ac:dyDescent="0.2">
      <c r="A58" s="110">
        <v>2010</v>
      </c>
      <c r="B58" s="89">
        <v>169.25800000000001</v>
      </c>
      <c r="C58" s="89">
        <v>0</v>
      </c>
      <c r="D58" s="89">
        <v>0</v>
      </c>
      <c r="E58" s="89">
        <v>0</v>
      </c>
      <c r="F58" s="89">
        <v>0</v>
      </c>
      <c r="G58" s="89">
        <v>0</v>
      </c>
      <c r="H58" s="89">
        <v>0</v>
      </c>
      <c r="I58" s="89">
        <v>0</v>
      </c>
      <c r="J58" s="89">
        <f>27.799-12.244</f>
        <v>15.555</v>
      </c>
      <c r="K58" s="89">
        <v>446.98899999999998</v>
      </c>
      <c r="L58" s="89">
        <v>488.67599999999999</v>
      </c>
      <c r="M58" s="89">
        <v>451.44900000000001</v>
      </c>
      <c r="N58" s="49"/>
      <c r="O58" s="89">
        <f t="shared" si="9"/>
        <v>169.25800000000001</v>
      </c>
      <c r="P58" s="89">
        <f t="shared" si="14"/>
        <v>0</v>
      </c>
      <c r="Q58" s="89">
        <f t="shared" si="10"/>
        <v>15.555</v>
      </c>
      <c r="R58" s="89">
        <f t="shared" si="11"/>
        <v>1387.114</v>
      </c>
      <c r="S58" s="89">
        <f t="shared" si="12"/>
        <v>1571.9270000000001</v>
      </c>
      <c r="T58" s="49"/>
      <c r="U58" s="89">
        <f t="shared" si="15"/>
        <v>1468.758</v>
      </c>
    </row>
    <row r="59" spans="1:21" x14ac:dyDescent="0.2">
      <c r="A59" s="110">
        <v>2011</v>
      </c>
      <c r="B59" s="89">
        <v>2.2570000000000001</v>
      </c>
      <c r="C59" s="89">
        <v>0</v>
      </c>
      <c r="D59" s="89">
        <v>0</v>
      </c>
      <c r="E59" s="89">
        <v>0</v>
      </c>
      <c r="F59" s="89">
        <v>0</v>
      </c>
      <c r="G59" s="89">
        <v>0</v>
      </c>
      <c r="H59" s="89">
        <v>0</v>
      </c>
      <c r="I59" s="89">
        <v>0</v>
      </c>
      <c r="J59" s="89">
        <v>21.803999999999998</v>
      </c>
      <c r="K59" s="89">
        <v>453.82600000000002</v>
      </c>
      <c r="L59" s="89">
        <v>538.71100000000001</v>
      </c>
      <c r="M59" s="89">
        <v>392.96499999999997</v>
      </c>
      <c r="N59" s="49"/>
      <c r="O59" s="89">
        <f t="shared" si="9"/>
        <v>2.2570000000000001</v>
      </c>
      <c r="P59" s="89">
        <f t="shared" si="14"/>
        <v>0</v>
      </c>
      <c r="Q59" s="89">
        <f t="shared" si="10"/>
        <v>21.803999999999998</v>
      </c>
      <c r="R59" s="89">
        <f t="shared" si="11"/>
        <v>1385.502</v>
      </c>
      <c r="S59" s="89">
        <f t="shared" si="12"/>
        <v>1409.5629999999999</v>
      </c>
      <c r="T59" s="215"/>
      <c r="U59" s="89">
        <f t="shared" si="15"/>
        <v>1411.175</v>
      </c>
    </row>
    <row r="60" spans="1:21" x14ac:dyDescent="0.2">
      <c r="A60" s="132">
        <v>2012</v>
      </c>
      <c r="B60" s="89">
        <v>0</v>
      </c>
      <c r="C60" s="89">
        <v>0</v>
      </c>
      <c r="D60" s="89">
        <v>0</v>
      </c>
      <c r="E60" s="89">
        <v>0</v>
      </c>
      <c r="F60" s="89">
        <v>0</v>
      </c>
      <c r="G60" s="89">
        <v>0</v>
      </c>
      <c r="H60" s="89">
        <v>0</v>
      </c>
      <c r="I60" s="89">
        <v>0</v>
      </c>
      <c r="J60" s="89">
        <v>54.212000000000003</v>
      </c>
      <c r="K60" s="89">
        <v>480.755</v>
      </c>
      <c r="L60" s="89">
        <v>564.42499999999995</v>
      </c>
      <c r="M60" s="89">
        <v>544.35299999999995</v>
      </c>
      <c r="N60" s="49"/>
      <c r="O60" s="89">
        <f t="shared" si="9"/>
        <v>0</v>
      </c>
      <c r="P60" s="89">
        <f t="shared" si="14"/>
        <v>0</v>
      </c>
      <c r="Q60" s="89">
        <f t="shared" si="10"/>
        <v>54.212000000000003</v>
      </c>
      <c r="R60" s="89">
        <f t="shared" si="11"/>
        <v>1589.5329999999999</v>
      </c>
      <c r="S60" s="89">
        <f t="shared" si="12"/>
        <v>1643.7449999999999</v>
      </c>
      <c r="T60" s="49"/>
      <c r="U60" s="89">
        <f t="shared" si="15"/>
        <v>1439.7139999999999</v>
      </c>
    </row>
    <row r="61" spans="1:21" x14ac:dyDescent="0.2">
      <c r="A61" s="132">
        <v>2013</v>
      </c>
      <c r="B61" s="89">
        <v>80.816999999999993</v>
      </c>
      <c r="C61" s="89">
        <v>0</v>
      </c>
      <c r="D61" s="89">
        <v>0</v>
      </c>
      <c r="E61" s="89">
        <v>0</v>
      </c>
      <c r="F61" s="89">
        <v>0</v>
      </c>
      <c r="G61" s="89">
        <v>0</v>
      </c>
      <c r="H61" s="89">
        <v>0</v>
      </c>
      <c r="I61" s="89">
        <v>0</v>
      </c>
      <c r="J61" s="89">
        <v>15.845000000000001</v>
      </c>
      <c r="K61" s="89">
        <v>433.553</v>
      </c>
      <c r="L61" s="89">
        <v>545.00900000000001</v>
      </c>
      <c r="M61" s="89">
        <v>521.11500000000001</v>
      </c>
      <c r="N61" s="49"/>
      <c r="O61" s="89">
        <f t="shared" si="9"/>
        <v>80.816999999999993</v>
      </c>
      <c r="P61" s="89">
        <f t="shared" si="14"/>
        <v>0</v>
      </c>
      <c r="Q61" s="89">
        <f t="shared" si="10"/>
        <v>15.845000000000001</v>
      </c>
      <c r="R61" s="89">
        <f t="shared" si="11"/>
        <v>1499.6770000000001</v>
      </c>
      <c r="S61" s="89">
        <f t="shared" si="12"/>
        <v>1596.3390000000002</v>
      </c>
      <c r="T61" s="49"/>
      <c r="U61" s="89">
        <f t="shared" si="15"/>
        <v>1686.1949999999999</v>
      </c>
    </row>
    <row r="62" spans="1:21" x14ac:dyDescent="0.2">
      <c r="A62" s="132">
        <v>2014</v>
      </c>
      <c r="B62" s="89">
        <v>79.224000000000004</v>
      </c>
      <c r="C62" s="89">
        <v>0</v>
      </c>
      <c r="D62" s="89">
        <v>0</v>
      </c>
      <c r="E62" s="89">
        <v>0</v>
      </c>
      <c r="F62" s="89">
        <v>0</v>
      </c>
      <c r="G62" s="89">
        <v>0</v>
      </c>
      <c r="H62" s="89">
        <v>0</v>
      </c>
      <c r="I62" s="89">
        <v>0</v>
      </c>
      <c r="J62" s="89">
        <v>12.32</v>
      </c>
      <c r="K62" s="89">
        <v>442.31400000000002</v>
      </c>
      <c r="L62" s="89">
        <v>561.28</v>
      </c>
      <c r="M62" s="89">
        <v>463.49099999999999</v>
      </c>
      <c r="N62" s="49"/>
      <c r="O62" s="89">
        <f t="shared" si="9"/>
        <v>79.224000000000004</v>
      </c>
      <c r="P62" s="89">
        <f t="shared" si="14"/>
        <v>0</v>
      </c>
      <c r="Q62" s="89">
        <f t="shared" si="10"/>
        <v>12.32</v>
      </c>
      <c r="R62" s="89">
        <f t="shared" si="11"/>
        <v>1467.085</v>
      </c>
      <c r="S62" s="89">
        <f t="shared" si="12"/>
        <v>1558.6289999999999</v>
      </c>
      <c r="T62" s="49"/>
      <c r="U62" s="89">
        <f t="shared" ref="U62:U68" si="16">R61+SUM(O62:Q62)</f>
        <v>1591.2210000000002</v>
      </c>
    </row>
    <row r="63" spans="1:21" x14ac:dyDescent="0.2">
      <c r="A63" s="132">
        <v>2015</v>
      </c>
      <c r="B63" s="89">
        <v>34.725999999999999</v>
      </c>
      <c r="C63" s="89">
        <v>0</v>
      </c>
      <c r="D63" s="89">
        <v>0</v>
      </c>
      <c r="E63" s="89">
        <v>0</v>
      </c>
      <c r="F63" s="89">
        <v>0</v>
      </c>
      <c r="G63" s="89">
        <v>0</v>
      </c>
      <c r="H63" s="89">
        <v>0</v>
      </c>
      <c r="I63" s="89">
        <v>0</v>
      </c>
      <c r="J63" s="89">
        <v>10.926</v>
      </c>
      <c r="K63" s="89">
        <v>447.15899999999999</v>
      </c>
      <c r="L63" s="89">
        <v>469.815</v>
      </c>
      <c r="M63" s="89">
        <v>436.678</v>
      </c>
      <c r="N63" s="49"/>
      <c r="O63" s="89">
        <f t="shared" si="9"/>
        <v>34.725999999999999</v>
      </c>
      <c r="P63" s="89">
        <f t="shared" si="14"/>
        <v>0</v>
      </c>
      <c r="Q63" s="89">
        <f t="shared" si="10"/>
        <v>10.926</v>
      </c>
      <c r="R63" s="89">
        <f t="shared" si="11"/>
        <v>1353.652</v>
      </c>
      <c r="S63" s="89">
        <f t="shared" si="12"/>
        <v>1399.3040000000001</v>
      </c>
      <c r="T63" s="49"/>
      <c r="U63" s="89">
        <f t="shared" si="16"/>
        <v>1512.7370000000001</v>
      </c>
    </row>
    <row r="64" spans="1:21" x14ac:dyDescent="0.2">
      <c r="A64" s="132">
        <v>2016</v>
      </c>
      <c r="B64" s="89">
        <v>50.456000000000003</v>
      </c>
      <c r="C64" s="89">
        <v>0</v>
      </c>
      <c r="D64" s="89">
        <v>0</v>
      </c>
      <c r="E64" s="89">
        <v>0</v>
      </c>
      <c r="F64" s="89">
        <v>0</v>
      </c>
      <c r="G64" s="89">
        <v>0</v>
      </c>
      <c r="H64" s="89">
        <v>0</v>
      </c>
      <c r="I64" s="89">
        <v>0</v>
      </c>
      <c r="J64" s="89">
        <v>23.981000000000002</v>
      </c>
      <c r="K64" s="89">
        <v>519.00800000000004</v>
      </c>
      <c r="L64" s="89">
        <v>575.97900000000004</v>
      </c>
      <c r="M64" s="89">
        <v>480.35899999999998</v>
      </c>
      <c r="N64" s="49"/>
      <c r="O64" s="89">
        <f t="shared" si="9"/>
        <v>50.456000000000003</v>
      </c>
      <c r="P64" s="89">
        <f t="shared" si="14"/>
        <v>0</v>
      </c>
      <c r="Q64" s="89">
        <f t="shared" si="10"/>
        <v>23.981000000000002</v>
      </c>
      <c r="R64" s="89">
        <f t="shared" si="11"/>
        <v>1575.346</v>
      </c>
      <c r="S64" s="89">
        <f t="shared" si="12"/>
        <v>1649.7829999999999</v>
      </c>
      <c r="T64" s="49"/>
      <c r="U64" s="89">
        <f t="shared" si="16"/>
        <v>1428.0889999999999</v>
      </c>
    </row>
    <row r="65" spans="1:21" x14ac:dyDescent="0.2">
      <c r="A65" s="132">
        <v>2017</v>
      </c>
      <c r="B65" s="89">
        <v>18.178999999999998</v>
      </c>
      <c r="C65" s="89">
        <v>0</v>
      </c>
      <c r="D65" s="89">
        <v>0</v>
      </c>
      <c r="E65" s="89">
        <v>0</v>
      </c>
      <c r="F65" s="89">
        <v>0</v>
      </c>
      <c r="G65" s="89">
        <v>0</v>
      </c>
      <c r="H65" s="89">
        <v>0</v>
      </c>
      <c r="I65" s="89">
        <v>0</v>
      </c>
      <c r="J65" s="89">
        <v>34.917999999999999</v>
      </c>
      <c r="K65" s="89">
        <v>534.20500000000004</v>
      </c>
      <c r="L65" s="89">
        <v>604.02700000000004</v>
      </c>
      <c r="M65" s="89">
        <v>570.58399999999995</v>
      </c>
      <c r="N65" s="49"/>
      <c r="O65" s="89">
        <f t="shared" si="9"/>
        <v>18.178999999999998</v>
      </c>
      <c r="P65" s="89">
        <f t="shared" si="14"/>
        <v>0</v>
      </c>
      <c r="Q65" s="89">
        <f t="shared" si="10"/>
        <v>34.917999999999999</v>
      </c>
      <c r="R65" s="89">
        <f t="shared" si="11"/>
        <v>1708.8159999999998</v>
      </c>
      <c r="S65" s="89">
        <f t="shared" si="12"/>
        <v>1761.913</v>
      </c>
      <c r="T65" s="49"/>
      <c r="U65" s="89">
        <f t="shared" si="16"/>
        <v>1628.443</v>
      </c>
    </row>
    <row r="66" spans="1:21" x14ac:dyDescent="0.2">
      <c r="A66" s="132">
        <v>2018</v>
      </c>
      <c r="B66" s="89">
        <v>121.09399999999999</v>
      </c>
      <c r="C66" s="89">
        <v>0</v>
      </c>
      <c r="D66" s="89">
        <v>0</v>
      </c>
      <c r="E66" s="89">
        <v>0</v>
      </c>
      <c r="F66" s="89">
        <v>0</v>
      </c>
      <c r="G66" s="89">
        <v>0</v>
      </c>
      <c r="H66" s="89">
        <v>0</v>
      </c>
      <c r="I66" s="89">
        <v>0</v>
      </c>
      <c r="J66" s="89">
        <v>31.916</v>
      </c>
      <c r="K66" s="89">
        <v>519.78</v>
      </c>
      <c r="L66" s="89">
        <v>557.12599999999998</v>
      </c>
      <c r="M66" s="89">
        <v>562.26800000000003</v>
      </c>
      <c r="N66" s="49"/>
      <c r="O66" s="89">
        <f t="shared" si="9"/>
        <v>121.09399999999999</v>
      </c>
      <c r="P66" s="89">
        <f t="shared" si="14"/>
        <v>0</v>
      </c>
      <c r="Q66" s="89">
        <f t="shared" si="10"/>
        <v>31.916</v>
      </c>
      <c r="R66" s="89">
        <f t="shared" si="11"/>
        <v>1639.174</v>
      </c>
      <c r="S66" s="89">
        <f t="shared" si="12"/>
        <v>1792.184</v>
      </c>
      <c r="T66" s="49"/>
      <c r="U66" s="89">
        <f t="shared" si="16"/>
        <v>1861.8259999999998</v>
      </c>
    </row>
    <row r="67" spans="1:21" x14ac:dyDescent="0.2">
      <c r="A67" s="132">
        <v>2019</v>
      </c>
      <c r="B67" s="89">
        <v>205.12100000000001</v>
      </c>
      <c r="C67" s="89">
        <v>0</v>
      </c>
      <c r="D67" s="89">
        <v>0</v>
      </c>
      <c r="E67" s="89">
        <v>0</v>
      </c>
      <c r="F67" s="89">
        <v>0</v>
      </c>
      <c r="G67" s="89">
        <v>0</v>
      </c>
      <c r="H67" s="89">
        <v>0</v>
      </c>
      <c r="I67" s="89">
        <v>0</v>
      </c>
      <c r="J67" s="89">
        <v>62.953000000000003</v>
      </c>
      <c r="K67" s="89">
        <v>502.46300000000002</v>
      </c>
      <c r="L67" s="89">
        <v>547.77300000000002</v>
      </c>
      <c r="M67" s="89">
        <v>423.03699999999998</v>
      </c>
      <c r="N67" s="49"/>
      <c r="O67" s="89">
        <f t="shared" si="9"/>
        <v>205.12100000000001</v>
      </c>
      <c r="P67" s="89">
        <f t="shared" si="14"/>
        <v>0</v>
      </c>
      <c r="Q67" s="89">
        <f t="shared" si="10"/>
        <v>62.953000000000003</v>
      </c>
      <c r="R67" s="89">
        <f t="shared" si="11"/>
        <v>1473.2730000000001</v>
      </c>
      <c r="S67" s="89">
        <f t="shared" si="12"/>
        <v>1741.347</v>
      </c>
      <c r="T67" s="49"/>
      <c r="U67" s="89">
        <f>R66+SUM(O67:Q67)</f>
        <v>1907.248</v>
      </c>
    </row>
    <row r="68" spans="1:21" x14ac:dyDescent="0.2">
      <c r="A68" s="132">
        <v>2020</v>
      </c>
      <c r="B68" s="89">
        <v>21.936</v>
      </c>
      <c r="C68" s="89">
        <v>0</v>
      </c>
      <c r="D68" s="89">
        <v>0</v>
      </c>
      <c r="E68" s="89">
        <v>0</v>
      </c>
      <c r="F68" s="89">
        <v>0</v>
      </c>
      <c r="G68" s="89">
        <v>0</v>
      </c>
      <c r="H68" s="89">
        <v>0</v>
      </c>
      <c r="I68" s="89">
        <v>0</v>
      </c>
      <c r="J68" s="89">
        <v>70.415000000000006</v>
      </c>
      <c r="K68" s="89">
        <v>492.71499999999997</v>
      </c>
      <c r="L68" s="89">
        <v>613.77700000000004</v>
      </c>
      <c r="M68" s="89">
        <v>582.94000000000005</v>
      </c>
      <c r="N68" s="49"/>
      <c r="O68" s="89">
        <f t="shared" si="9"/>
        <v>21.936</v>
      </c>
      <c r="P68" s="89">
        <f t="shared" si="14"/>
        <v>0</v>
      </c>
      <c r="Q68" s="89">
        <f t="shared" si="10"/>
        <v>70.415000000000006</v>
      </c>
      <c r="R68" s="89">
        <f>SUM(K68:M68)</f>
        <v>1689.432</v>
      </c>
      <c r="S68" s="89">
        <f t="shared" si="12"/>
        <v>1781.7830000000001</v>
      </c>
      <c r="T68" s="49"/>
      <c r="U68" s="89">
        <f t="shared" si="16"/>
        <v>1565.6240000000003</v>
      </c>
    </row>
    <row r="69" spans="1:21" x14ac:dyDescent="0.2">
      <c r="A69" s="132">
        <v>2021</v>
      </c>
      <c r="B69" s="89">
        <v>216.11699999999999</v>
      </c>
      <c r="C69" s="89">
        <v>0</v>
      </c>
      <c r="D69" s="89">
        <v>0</v>
      </c>
      <c r="E69" s="89">
        <v>0</v>
      </c>
      <c r="F69" s="89">
        <v>0</v>
      </c>
      <c r="G69" s="89">
        <v>0</v>
      </c>
      <c r="H69" s="89">
        <v>0</v>
      </c>
      <c r="I69" s="89">
        <v>0</v>
      </c>
      <c r="J69" s="89">
        <v>12.266</v>
      </c>
      <c r="K69" s="124">
        <v>417.36799999999999</v>
      </c>
      <c r="L69" s="124">
        <v>629.09799999999996</v>
      </c>
      <c r="M69" s="124">
        <v>620.16499999999996</v>
      </c>
      <c r="N69" s="49"/>
      <c r="O69" s="89">
        <f>SUM(B69:D69)</f>
        <v>216.11699999999999</v>
      </c>
      <c r="P69" s="89">
        <f>SUM(E69:G69)</f>
        <v>0</v>
      </c>
      <c r="Q69" s="89">
        <f>SUM(H69:J69)</f>
        <v>12.266</v>
      </c>
      <c r="R69" s="89">
        <f>SUM(K69:M69)</f>
        <v>1666.6309999999999</v>
      </c>
      <c r="S69" s="89">
        <f>SUM(B69:M69)</f>
        <v>1895.0139999999999</v>
      </c>
      <c r="T69" s="49"/>
      <c r="U69" s="89">
        <f>R68+SUM(O69:Q69)</f>
        <v>1917.8150000000001</v>
      </c>
    </row>
    <row r="70" spans="1:21" x14ac:dyDescent="0.2">
      <c r="A70" s="132">
        <v>2022</v>
      </c>
      <c r="B70" s="89">
        <v>202.00700000000001</v>
      </c>
      <c r="C70" s="124">
        <v>0</v>
      </c>
      <c r="D70" s="124">
        <v>0</v>
      </c>
      <c r="E70" s="124">
        <v>0</v>
      </c>
      <c r="F70" s="124">
        <v>0</v>
      </c>
      <c r="G70" s="124">
        <v>0</v>
      </c>
      <c r="H70" s="124">
        <v>0</v>
      </c>
      <c r="I70" s="124">
        <v>0</v>
      </c>
      <c r="J70" s="124">
        <v>75.067999999999998</v>
      </c>
      <c r="K70" s="124">
        <v>575.93899999999996</v>
      </c>
      <c r="L70" s="124">
        <v>632.02</v>
      </c>
      <c r="M70" s="124">
        <v>619.70399999999995</v>
      </c>
      <c r="N70" s="49"/>
      <c r="O70" s="89">
        <f>SUM(B70:D70)</f>
        <v>202.00700000000001</v>
      </c>
      <c r="P70" s="89">
        <f>SUM(E70:G70)</f>
        <v>0</v>
      </c>
      <c r="Q70" s="89">
        <f>SUM(H70:J70)</f>
        <v>75.067999999999998</v>
      </c>
      <c r="R70" s="89">
        <f>SUM(K70:M70)</f>
        <v>1827.6629999999998</v>
      </c>
      <c r="S70" s="89">
        <f>SUM(B70:M70)</f>
        <v>2104.7379999999998</v>
      </c>
      <c r="T70" s="49"/>
      <c r="U70" s="89">
        <f>R69+SUM(O70:Q70)</f>
        <v>1943.7059999999999</v>
      </c>
    </row>
    <row r="71" spans="1:21" x14ac:dyDescent="0.2">
      <c r="A71" s="132">
        <v>2023</v>
      </c>
      <c r="B71" s="89">
        <v>168.07900000000001</v>
      </c>
      <c r="C71" s="124">
        <v>0</v>
      </c>
      <c r="D71" s="124">
        <v>0</v>
      </c>
      <c r="E71" s="124">
        <v>0</v>
      </c>
      <c r="F71" s="124">
        <v>0</v>
      </c>
      <c r="G71" s="124">
        <v>0</v>
      </c>
      <c r="H71" s="124">
        <v>0</v>
      </c>
      <c r="I71" s="124">
        <v>0</v>
      </c>
      <c r="J71" s="124">
        <v>5.6230000000000002</v>
      </c>
      <c r="K71" s="124">
        <v>491.40699999999998</v>
      </c>
      <c r="L71" s="124">
        <v>609.04300000000001</v>
      </c>
      <c r="M71" s="124">
        <v>627.51499999999999</v>
      </c>
      <c r="N71" s="49"/>
      <c r="O71" s="89">
        <f>SUM(B71:D71)</f>
        <v>168.07900000000001</v>
      </c>
      <c r="P71" s="89">
        <f>SUM(E71:G71)</f>
        <v>0</v>
      </c>
      <c r="Q71" s="89">
        <f>SUM(H71:J71)</f>
        <v>5.6230000000000002</v>
      </c>
      <c r="R71" s="89">
        <f>SUM(K71:M71)</f>
        <v>1727.9650000000001</v>
      </c>
      <c r="S71" s="89">
        <f>SUM(B71:M71)</f>
        <v>1901.6669999999999</v>
      </c>
      <c r="T71" s="49"/>
      <c r="U71" s="89">
        <f>R70+SUM(O71:Q71)</f>
        <v>2001.3649999999998</v>
      </c>
    </row>
    <row r="72" spans="1:21" x14ac:dyDescent="0.2">
      <c r="A72" s="132">
        <v>2024</v>
      </c>
      <c r="B72" s="89">
        <v>170.51</v>
      </c>
      <c r="C72" s="124">
        <v>0</v>
      </c>
      <c r="D72" s="124">
        <v>0</v>
      </c>
      <c r="E72" s="124">
        <v>0</v>
      </c>
      <c r="F72" s="124">
        <v>0</v>
      </c>
      <c r="G72" s="124">
        <v>0</v>
      </c>
      <c r="H72" s="124">
        <v>0</v>
      </c>
      <c r="I72" s="124">
        <v>0</v>
      </c>
      <c r="J72" s="124">
        <v>117.28</v>
      </c>
      <c r="K72" s="124">
        <v>632.14599999999996</v>
      </c>
      <c r="L72" s="124">
        <v>626.28499999999997</v>
      </c>
      <c r="M72" s="124" t="s">
        <v>152</v>
      </c>
      <c r="N72" s="49"/>
      <c r="O72" s="89">
        <f>SUM(B72:D72)</f>
        <v>170.51</v>
      </c>
      <c r="P72" s="89">
        <f>SUM(E72:G72)</f>
        <v>0</v>
      </c>
      <c r="Q72" s="89">
        <f>SUM(H72:J72)</f>
        <v>117.28</v>
      </c>
      <c r="R72" s="124" t="s">
        <v>152</v>
      </c>
      <c r="S72" s="124" t="s">
        <v>152</v>
      </c>
      <c r="T72" s="49"/>
      <c r="U72" s="89">
        <f>R71+SUM(O72:Q72)</f>
        <v>2015.7550000000001</v>
      </c>
    </row>
    <row r="73" spans="1:21" x14ac:dyDescent="0.2">
      <c r="A73" s="207" t="s">
        <v>177</v>
      </c>
      <c r="B73" s="89"/>
      <c r="C73" s="89"/>
      <c r="D73" s="89"/>
      <c r="E73" s="89"/>
      <c r="F73" s="89"/>
      <c r="G73" s="89"/>
      <c r="H73" s="89"/>
      <c r="I73" s="89"/>
      <c r="J73" s="89"/>
      <c r="K73" s="89"/>
      <c r="L73" s="89"/>
      <c r="M73" s="89"/>
      <c r="N73" s="49"/>
      <c r="O73" s="89"/>
      <c r="P73" s="89"/>
      <c r="Q73" s="89"/>
      <c r="R73" s="89"/>
      <c r="S73" s="89"/>
      <c r="T73" s="49"/>
      <c r="U73" s="89"/>
    </row>
    <row r="74" spans="1:21" x14ac:dyDescent="0.2">
      <c r="A74" s="33">
        <v>1992</v>
      </c>
      <c r="B74" s="89">
        <v>0</v>
      </c>
      <c r="C74" s="89">
        <v>10.199999999999999</v>
      </c>
      <c r="D74" s="89">
        <v>28.7</v>
      </c>
      <c r="E74" s="89">
        <v>14.6</v>
      </c>
      <c r="F74" s="89">
        <v>4.8</v>
      </c>
      <c r="G74" s="89">
        <v>0.8</v>
      </c>
      <c r="H74" s="89">
        <v>0</v>
      </c>
      <c r="I74" s="89">
        <v>0</v>
      </c>
      <c r="J74" s="89">
        <v>0</v>
      </c>
      <c r="K74" s="89">
        <v>19.8</v>
      </c>
      <c r="L74" s="89">
        <v>15</v>
      </c>
      <c r="M74" s="89">
        <v>25.3</v>
      </c>
      <c r="N74" s="49"/>
      <c r="O74" s="89">
        <f t="shared" ref="O74:O102" si="17">SUM(B74:D74)</f>
        <v>38.9</v>
      </c>
      <c r="P74" s="89">
        <f t="shared" ref="P74:P79" si="18">SUM(E74:G74)</f>
        <v>20.2</v>
      </c>
      <c r="Q74" s="89">
        <f t="shared" ref="Q74:Q102" si="19">SUM(H74:J74)</f>
        <v>0</v>
      </c>
      <c r="R74" s="89">
        <f t="shared" ref="R74:R102" si="20">SUM(K74:M74)</f>
        <v>60.099999999999994</v>
      </c>
      <c r="S74" s="89">
        <f t="shared" ref="S74:S102" si="21">SUM(B74:M74)</f>
        <v>119.19999999999999</v>
      </c>
      <c r="T74" s="49"/>
      <c r="U74" s="89">
        <v>109.3</v>
      </c>
    </row>
    <row r="75" spans="1:21" x14ac:dyDescent="0.2">
      <c r="A75" s="33">
        <v>1993</v>
      </c>
      <c r="B75" s="89">
        <v>27.3</v>
      </c>
      <c r="C75" s="89">
        <v>23.4</v>
      </c>
      <c r="D75" s="89">
        <v>22.9</v>
      </c>
      <c r="E75" s="89">
        <v>1.4</v>
      </c>
      <c r="F75" s="89">
        <v>0</v>
      </c>
      <c r="G75" s="89">
        <v>0</v>
      </c>
      <c r="H75" s="89">
        <v>0</v>
      </c>
      <c r="I75" s="89">
        <v>0</v>
      </c>
      <c r="J75" s="89">
        <v>2.6</v>
      </c>
      <c r="K75" s="89">
        <v>24.7</v>
      </c>
      <c r="L75" s="89">
        <v>24.7</v>
      </c>
      <c r="M75" s="89">
        <v>23.5</v>
      </c>
      <c r="N75" s="49"/>
      <c r="O75" s="89">
        <f t="shared" si="17"/>
        <v>73.599999999999994</v>
      </c>
      <c r="P75" s="89">
        <f t="shared" si="18"/>
        <v>1.4</v>
      </c>
      <c r="Q75" s="89">
        <f t="shared" si="19"/>
        <v>2.6</v>
      </c>
      <c r="R75" s="89">
        <f t="shared" si="20"/>
        <v>72.900000000000006</v>
      </c>
      <c r="S75" s="89">
        <f t="shared" si="21"/>
        <v>150.5</v>
      </c>
      <c r="T75" s="49"/>
      <c r="U75" s="89">
        <f>R74+SUM(O75:Q75)</f>
        <v>137.69999999999999</v>
      </c>
    </row>
    <row r="76" spans="1:21" x14ac:dyDescent="0.2">
      <c r="A76" s="33">
        <v>1994</v>
      </c>
      <c r="B76" s="89">
        <v>17.100000000000001</v>
      </c>
      <c r="C76" s="89">
        <v>23.5</v>
      </c>
      <c r="D76" s="89">
        <v>22.1</v>
      </c>
      <c r="E76" s="89">
        <v>6.6</v>
      </c>
      <c r="F76" s="89">
        <v>0</v>
      </c>
      <c r="G76" s="89">
        <v>0</v>
      </c>
      <c r="H76" s="89">
        <v>0</v>
      </c>
      <c r="I76" s="89">
        <v>0</v>
      </c>
      <c r="J76" s="89">
        <v>4.2</v>
      </c>
      <c r="K76" s="89">
        <v>19.2</v>
      </c>
      <c r="L76" s="89">
        <v>26.66</v>
      </c>
      <c r="M76" s="89">
        <v>24.79</v>
      </c>
      <c r="N76" s="49"/>
      <c r="O76" s="89">
        <f t="shared" si="17"/>
        <v>62.7</v>
      </c>
      <c r="P76" s="89">
        <f t="shared" si="18"/>
        <v>6.6</v>
      </c>
      <c r="Q76" s="89">
        <f t="shared" si="19"/>
        <v>4.2</v>
      </c>
      <c r="R76" s="89">
        <f t="shared" si="20"/>
        <v>70.650000000000006</v>
      </c>
      <c r="S76" s="89">
        <f t="shared" si="21"/>
        <v>144.15</v>
      </c>
      <c r="T76" s="49"/>
      <c r="U76" s="89">
        <f>R75+SUM(O76:Q76)</f>
        <v>146.4</v>
      </c>
    </row>
    <row r="77" spans="1:21" x14ac:dyDescent="0.2">
      <c r="A77" s="35">
        <v>1995</v>
      </c>
      <c r="B77" s="89">
        <v>20.47</v>
      </c>
      <c r="C77" s="89">
        <v>24.88</v>
      </c>
      <c r="D77" s="89">
        <v>23.535</v>
      </c>
      <c r="E77" s="89">
        <v>0</v>
      </c>
      <c r="F77" s="89">
        <v>0</v>
      </c>
      <c r="G77" s="89">
        <v>1.9910000000000001</v>
      </c>
      <c r="H77" s="89">
        <v>0</v>
      </c>
      <c r="I77" s="89">
        <v>0</v>
      </c>
      <c r="J77" s="89">
        <v>2.589</v>
      </c>
      <c r="K77" s="89">
        <v>17.457999999999998</v>
      </c>
      <c r="L77" s="89">
        <v>14.624000000000001</v>
      </c>
      <c r="M77" s="89">
        <v>19.619</v>
      </c>
      <c r="N77" s="49"/>
      <c r="O77" s="89">
        <f t="shared" si="17"/>
        <v>68.884999999999991</v>
      </c>
      <c r="P77" s="89">
        <f t="shared" si="18"/>
        <v>1.9910000000000001</v>
      </c>
      <c r="Q77" s="89">
        <f t="shared" si="19"/>
        <v>2.589</v>
      </c>
      <c r="R77" s="89">
        <f t="shared" si="20"/>
        <v>51.701000000000001</v>
      </c>
      <c r="S77" s="89">
        <f t="shared" si="21"/>
        <v>125.16599999999998</v>
      </c>
      <c r="T77" s="49"/>
      <c r="U77" s="89">
        <v>144</v>
      </c>
    </row>
    <row r="78" spans="1:21" x14ac:dyDescent="0.2">
      <c r="A78" s="35">
        <v>1996</v>
      </c>
      <c r="B78" s="89">
        <v>27.584</v>
      </c>
      <c r="C78" s="89">
        <v>26.068000000000001</v>
      </c>
      <c r="D78" s="89">
        <v>28.738</v>
      </c>
      <c r="E78" s="89">
        <v>0</v>
      </c>
      <c r="F78" s="89">
        <v>0</v>
      </c>
      <c r="G78" s="89">
        <v>0</v>
      </c>
      <c r="H78" s="89">
        <v>0</v>
      </c>
      <c r="I78" s="89">
        <v>0</v>
      </c>
      <c r="J78" s="89">
        <v>0</v>
      </c>
      <c r="K78" s="89">
        <v>10.802</v>
      </c>
      <c r="L78" s="89">
        <v>23.581</v>
      </c>
      <c r="M78" s="89">
        <v>26.812000000000001</v>
      </c>
      <c r="N78" s="49"/>
      <c r="O78" s="89">
        <f t="shared" si="17"/>
        <v>82.39</v>
      </c>
      <c r="P78" s="89">
        <f t="shared" si="18"/>
        <v>0</v>
      </c>
      <c r="Q78" s="89">
        <f t="shared" si="19"/>
        <v>0</v>
      </c>
      <c r="R78" s="89">
        <f t="shared" si="20"/>
        <v>61.194999999999993</v>
      </c>
      <c r="S78" s="89">
        <f t="shared" si="21"/>
        <v>143.58500000000001</v>
      </c>
      <c r="T78" s="49"/>
      <c r="U78" s="89">
        <f>R77+SUM(O78:Q78)</f>
        <v>134.09100000000001</v>
      </c>
    </row>
    <row r="79" spans="1:21" x14ac:dyDescent="0.2">
      <c r="A79" s="35">
        <v>1997</v>
      </c>
      <c r="B79" s="89">
        <v>25.026</v>
      </c>
      <c r="C79" s="89">
        <v>4.7539999999999996</v>
      </c>
      <c r="D79" s="89">
        <v>0</v>
      </c>
      <c r="E79" s="89">
        <v>0</v>
      </c>
      <c r="F79" s="89">
        <v>0</v>
      </c>
      <c r="G79" s="89">
        <v>0</v>
      </c>
      <c r="H79" s="89">
        <v>0</v>
      </c>
      <c r="I79" s="89">
        <v>0</v>
      </c>
      <c r="J79" s="89">
        <v>0</v>
      </c>
      <c r="K79" s="89">
        <v>4.3129999999999997</v>
      </c>
      <c r="L79" s="89">
        <v>16.457000000000001</v>
      </c>
      <c r="M79" s="89">
        <v>29.053999999999998</v>
      </c>
      <c r="N79" s="49"/>
      <c r="O79" s="89">
        <f t="shared" si="17"/>
        <v>29.78</v>
      </c>
      <c r="P79" s="89">
        <f t="shared" si="18"/>
        <v>0</v>
      </c>
      <c r="Q79" s="89">
        <f t="shared" si="19"/>
        <v>0</v>
      </c>
      <c r="R79" s="89">
        <f t="shared" si="20"/>
        <v>49.823999999999998</v>
      </c>
      <c r="S79" s="89">
        <f t="shared" si="21"/>
        <v>79.603999999999999</v>
      </c>
      <c r="T79" s="49"/>
      <c r="U79" s="89">
        <f>R78+SUM(O79:Q79)</f>
        <v>90.974999999999994</v>
      </c>
    </row>
    <row r="80" spans="1:21" x14ac:dyDescent="0.2">
      <c r="A80" s="35">
        <v>1998</v>
      </c>
      <c r="B80" s="89">
        <v>29.745000000000001</v>
      </c>
      <c r="C80" s="89">
        <v>0</v>
      </c>
      <c r="D80" s="89">
        <v>0</v>
      </c>
      <c r="E80" s="89">
        <v>0</v>
      </c>
      <c r="F80" s="89">
        <v>0</v>
      </c>
      <c r="G80" s="89">
        <v>0</v>
      </c>
      <c r="H80" s="89">
        <v>0</v>
      </c>
      <c r="I80" s="89">
        <v>0</v>
      </c>
      <c r="J80" s="89">
        <v>0</v>
      </c>
      <c r="K80" s="89">
        <v>0</v>
      </c>
      <c r="L80" s="89">
        <v>4.3010000000000002</v>
      </c>
      <c r="M80" s="89">
        <v>21.713999999999999</v>
      </c>
      <c r="N80" s="49"/>
      <c r="O80" s="89">
        <f t="shared" si="17"/>
        <v>29.745000000000001</v>
      </c>
      <c r="P80" s="89">
        <v>0</v>
      </c>
      <c r="Q80" s="89">
        <f t="shared" si="19"/>
        <v>0</v>
      </c>
      <c r="R80" s="89">
        <f t="shared" si="20"/>
        <v>26.015000000000001</v>
      </c>
      <c r="S80" s="89">
        <f t="shared" si="21"/>
        <v>55.76</v>
      </c>
      <c r="T80" s="49"/>
      <c r="U80" s="89">
        <f>R79+SUM(O80:Q80)</f>
        <v>79.569000000000003</v>
      </c>
    </row>
    <row r="81" spans="1:21" x14ac:dyDescent="0.2">
      <c r="A81" s="35">
        <v>1999</v>
      </c>
      <c r="B81" s="89">
        <v>24.577000000000002</v>
      </c>
      <c r="C81" s="89">
        <v>24.041</v>
      </c>
      <c r="D81" s="89">
        <v>24.155999999999999</v>
      </c>
      <c r="E81" s="89">
        <v>7.3979999999999997</v>
      </c>
      <c r="F81" s="89">
        <v>0</v>
      </c>
      <c r="G81" s="89">
        <v>0</v>
      </c>
      <c r="H81" s="89">
        <v>0</v>
      </c>
      <c r="I81" s="89">
        <v>0</v>
      </c>
      <c r="J81" s="89">
        <v>0</v>
      </c>
      <c r="K81" s="89">
        <v>11.789</v>
      </c>
      <c r="L81" s="89">
        <v>24.302</v>
      </c>
      <c r="M81" s="89">
        <v>30.475000000000001</v>
      </c>
      <c r="N81" s="49"/>
      <c r="O81" s="89">
        <f t="shared" si="17"/>
        <v>72.774000000000001</v>
      </c>
      <c r="P81" s="89">
        <f t="shared" ref="P81:P102" si="22">SUM(E81:G81)</f>
        <v>7.3979999999999997</v>
      </c>
      <c r="Q81" s="89">
        <f t="shared" si="19"/>
        <v>0</v>
      </c>
      <c r="R81" s="89">
        <f t="shared" si="20"/>
        <v>66.566000000000003</v>
      </c>
      <c r="S81" s="89">
        <f t="shared" si="21"/>
        <v>146.738</v>
      </c>
      <c r="T81" s="49"/>
      <c r="U81" s="89">
        <f>R80+SUM(O81:Q81)</f>
        <v>106.187</v>
      </c>
    </row>
    <row r="82" spans="1:21" x14ac:dyDescent="0.2">
      <c r="A82" s="33">
        <v>2000</v>
      </c>
      <c r="B82" s="89">
        <v>27.605</v>
      </c>
      <c r="C82" s="89">
        <v>10.51</v>
      </c>
      <c r="D82" s="89">
        <v>0</v>
      </c>
      <c r="E82" s="89">
        <v>0</v>
      </c>
      <c r="F82" s="89">
        <v>0</v>
      </c>
      <c r="G82" s="89">
        <v>0</v>
      </c>
      <c r="H82" s="89">
        <v>0</v>
      </c>
      <c r="I82" s="89">
        <v>0</v>
      </c>
      <c r="J82" s="89">
        <v>0.45600000000000002</v>
      </c>
      <c r="K82" s="89">
        <v>16.573</v>
      </c>
      <c r="L82" s="89">
        <v>26.742000000000001</v>
      </c>
      <c r="M82" s="89">
        <v>29.071999999999999</v>
      </c>
      <c r="N82" s="49"/>
      <c r="O82" s="89">
        <f t="shared" si="17"/>
        <v>38.115000000000002</v>
      </c>
      <c r="P82" s="89">
        <f t="shared" si="22"/>
        <v>0</v>
      </c>
      <c r="Q82" s="89">
        <f t="shared" si="19"/>
        <v>0.45600000000000002</v>
      </c>
      <c r="R82" s="89">
        <f t="shared" si="20"/>
        <v>72.387</v>
      </c>
      <c r="S82" s="89">
        <f t="shared" si="21"/>
        <v>110.95800000000001</v>
      </c>
      <c r="T82" s="49"/>
      <c r="U82" s="89">
        <f>R81+SUM(O82:Q82)</f>
        <v>105.137</v>
      </c>
    </row>
    <row r="83" spans="1:21" x14ac:dyDescent="0.2">
      <c r="A83" s="132">
        <v>2001</v>
      </c>
      <c r="B83" s="89">
        <v>33.256999999999998</v>
      </c>
      <c r="C83" s="89">
        <v>24.382999999999999</v>
      </c>
      <c r="D83" s="89">
        <v>31.061</v>
      </c>
      <c r="E83" s="89">
        <v>29.146000000000001</v>
      </c>
      <c r="F83" s="89">
        <v>15.858000000000001</v>
      </c>
      <c r="G83" s="89">
        <v>0</v>
      </c>
      <c r="H83" s="89">
        <v>0</v>
      </c>
      <c r="I83" s="89">
        <v>0</v>
      </c>
      <c r="J83" s="89">
        <v>0</v>
      </c>
      <c r="K83" s="89">
        <v>24.207000000000001</v>
      </c>
      <c r="L83" s="89">
        <v>23.327000000000002</v>
      </c>
      <c r="M83" s="89">
        <v>27.696000000000002</v>
      </c>
      <c r="N83" s="49"/>
      <c r="O83" s="89">
        <f t="shared" si="17"/>
        <v>88.700999999999993</v>
      </c>
      <c r="P83" s="89">
        <f t="shared" si="22"/>
        <v>45.004000000000005</v>
      </c>
      <c r="Q83" s="89">
        <f t="shared" si="19"/>
        <v>0</v>
      </c>
      <c r="R83" s="89">
        <f t="shared" si="20"/>
        <v>75.23</v>
      </c>
      <c r="S83" s="89">
        <f t="shared" si="21"/>
        <v>208.93499999999997</v>
      </c>
      <c r="T83" s="49"/>
      <c r="U83" s="89">
        <f t="shared" ref="U83:U100" si="23">R82+SUM(O83:Q83)</f>
        <v>206.09199999999998</v>
      </c>
    </row>
    <row r="84" spans="1:21" x14ac:dyDescent="0.2">
      <c r="A84" s="110">
        <v>2002</v>
      </c>
      <c r="B84" s="89">
        <v>33.697000000000003</v>
      </c>
      <c r="C84" s="89">
        <v>29.291</v>
      </c>
      <c r="D84" s="89">
        <v>31.846</v>
      </c>
      <c r="E84" s="89">
        <v>3.7</v>
      </c>
      <c r="F84" s="89">
        <v>0</v>
      </c>
      <c r="G84" s="89">
        <v>0</v>
      </c>
      <c r="H84" s="89">
        <v>0</v>
      </c>
      <c r="I84" s="89">
        <v>0</v>
      </c>
      <c r="J84" s="89">
        <v>0</v>
      </c>
      <c r="K84" s="89">
        <v>13.583</v>
      </c>
      <c r="L84" s="89">
        <v>10.635</v>
      </c>
      <c r="M84" s="89">
        <v>31.827999999999999</v>
      </c>
      <c r="N84" s="49"/>
      <c r="O84" s="89">
        <f t="shared" si="17"/>
        <v>94.834000000000003</v>
      </c>
      <c r="P84" s="89">
        <f t="shared" si="22"/>
        <v>3.7</v>
      </c>
      <c r="Q84" s="89">
        <f t="shared" si="19"/>
        <v>0</v>
      </c>
      <c r="R84" s="89">
        <f t="shared" si="20"/>
        <v>56.045999999999999</v>
      </c>
      <c r="S84" s="89">
        <f t="shared" si="21"/>
        <v>154.58000000000001</v>
      </c>
      <c r="T84" s="49"/>
      <c r="U84" s="89">
        <f t="shared" si="23"/>
        <v>173.76400000000001</v>
      </c>
    </row>
    <row r="85" spans="1:21" x14ac:dyDescent="0.2">
      <c r="A85" s="110">
        <v>2003</v>
      </c>
      <c r="B85" s="89">
        <v>29.474</v>
      </c>
      <c r="C85" s="89">
        <v>24.902000000000001</v>
      </c>
      <c r="D85" s="89">
        <v>28.619</v>
      </c>
      <c r="E85" s="89">
        <v>32.764000000000003</v>
      </c>
      <c r="F85" s="89">
        <v>19.18</v>
      </c>
      <c r="G85" s="89">
        <v>0</v>
      </c>
      <c r="H85" s="89">
        <v>0</v>
      </c>
      <c r="I85" s="89">
        <v>0</v>
      </c>
      <c r="J85" s="89">
        <v>0</v>
      </c>
      <c r="K85" s="89">
        <v>0.35099999999999998</v>
      </c>
      <c r="L85" s="89">
        <v>18.167999999999999</v>
      </c>
      <c r="M85" s="89">
        <v>32.639000000000003</v>
      </c>
      <c r="N85" s="49"/>
      <c r="O85" s="89">
        <f t="shared" si="17"/>
        <v>82.995000000000005</v>
      </c>
      <c r="P85" s="89">
        <f t="shared" si="22"/>
        <v>51.944000000000003</v>
      </c>
      <c r="Q85" s="89">
        <f t="shared" si="19"/>
        <v>0</v>
      </c>
      <c r="R85" s="89">
        <f t="shared" si="20"/>
        <v>51.158000000000001</v>
      </c>
      <c r="S85" s="89">
        <f t="shared" si="21"/>
        <v>186.09700000000004</v>
      </c>
      <c r="T85" s="49"/>
      <c r="U85" s="89">
        <f t="shared" si="23"/>
        <v>190.98500000000001</v>
      </c>
    </row>
    <row r="86" spans="1:21" x14ac:dyDescent="0.2">
      <c r="A86" s="110">
        <v>2004</v>
      </c>
      <c r="B86" s="89">
        <v>26.954000000000001</v>
      </c>
      <c r="C86" s="89">
        <v>28.536999999999999</v>
      </c>
      <c r="D86" s="89">
        <v>26.331</v>
      </c>
      <c r="E86" s="89">
        <v>14.536</v>
      </c>
      <c r="F86" s="89">
        <v>26.571999999999999</v>
      </c>
      <c r="G86" s="89">
        <v>0.96499999999999997</v>
      </c>
      <c r="H86" s="89">
        <v>0</v>
      </c>
      <c r="I86" s="89">
        <v>0</v>
      </c>
      <c r="J86" s="89">
        <v>0</v>
      </c>
      <c r="K86" s="89">
        <v>21.29</v>
      </c>
      <c r="L86" s="89">
        <v>28.710999999999999</v>
      </c>
      <c r="M86" s="89">
        <v>29.161000000000001</v>
      </c>
      <c r="N86" s="49"/>
      <c r="O86" s="89">
        <f t="shared" si="17"/>
        <v>81.822000000000003</v>
      </c>
      <c r="P86" s="89">
        <f t="shared" si="22"/>
        <v>42.073</v>
      </c>
      <c r="Q86" s="89">
        <f t="shared" si="19"/>
        <v>0</v>
      </c>
      <c r="R86" s="89">
        <f t="shared" si="20"/>
        <v>79.162000000000006</v>
      </c>
      <c r="S86" s="89">
        <f t="shared" si="21"/>
        <v>203.05700000000002</v>
      </c>
      <c r="T86" s="49"/>
      <c r="U86" s="89">
        <f t="shared" si="23"/>
        <v>175.053</v>
      </c>
    </row>
    <row r="87" spans="1:21" x14ac:dyDescent="0.2">
      <c r="A87" s="110">
        <v>2005</v>
      </c>
      <c r="B87" s="89">
        <v>30.954999999999998</v>
      </c>
      <c r="C87" s="89">
        <v>24.49</v>
      </c>
      <c r="D87" s="89">
        <v>23.347000000000001</v>
      </c>
      <c r="E87" s="89">
        <v>0</v>
      </c>
      <c r="F87" s="89">
        <v>0</v>
      </c>
      <c r="G87" s="89">
        <v>0</v>
      </c>
      <c r="H87" s="89">
        <v>0</v>
      </c>
      <c r="I87" s="89">
        <v>0</v>
      </c>
      <c r="J87" s="89">
        <v>0</v>
      </c>
      <c r="K87" s="89">
        <v>15.914999999999999</v>
      </c>
      <c r="L87" s="89">
        <v>24.994</v>
      </c>
      <c r="M87" s="89">
        <v>28.61</v>
      </c>
      <c r="N87" s="49"/>
      <c r="O87" s="89">
        <f t="shared" si="17"/>
        <v>78.792000000000002</v>
      </c>
      <c r="P87" s="89">
        <f t="shared" si="22"/>
        <v>0</v>
      </c>
      <c r="Q87" s="89">
        <f t="shared" si="19"/>
        <v>0</v>
      </c>
      <c r="R87" s="89">
        <f t="shared" si="20"/>
        <v>69.519000000000005</v>
      </c>
      <c r="S87" s="89">
        <f t="shared" si="21"/>
        <v>148.31099999999998</v>
      </c>
      <c r="T87" s="49"/>
      <c r="U87" s="89">
        <f t="shared" si="23"/>
        <v>157.95400000000001</v>
      </c>
    </row>
    <row r="88" spans="1:21" x14ac:dyDescent="0.2">
      <c r="A88" s="110">
        <v>2006</v>
      </c>
      <c r="B88" s="89">
        <v>30.106000000000002</v>
      </c>
      <c r="C88" s="89">
        <v>25.649000000000001</v>
      </c>
      <c r="D88" s="89">
        <v>33.792000000000002</v>
      </c>
      <c r="E88" s="89">
        <v>16.408999999999999</v>
      </c>
      <c r="F88" s="89">
        <v>0</v>
      </c>
      <c r="G88" s="89">
        <v>0</v>
      </c>
      <c r="H88" s="89">
        <v>0</v>
      </c>
      <c r="I88" s="89">
        <v>0</v>
      </c>
      <c r="J88" s="89">
        <v>0</v>
      </c>
      <c r="K88" s="89">
        <v>5.6120000000000001</v>
      </c>
      <c r="L88" s="89">
        <v>24.402999999999999</v>
      </c>
      <c r="M88" s="89">
        <v>24.707000000000001</v>
      </c>
      <c r="N88" s="49"/>
      <c r="O88" s="89">
        <f t="shared" si="17"/>
        <v>89.546999999999997</v>
      </c>
      <c r="P88" s="89">
        <f t="shared" si="22"/>
        <v>16.408999999999999</v>
      </c>
      <c r="Q88" s="89">
        <f t="shared" si="19"/>
        <v>0</v>
      </c>
      <c r="R88" s="89">
        <f t="shared" si="20"/>
        <v>54.722000000000001</v>
      </c>
      <c r="S88" s="89">
        <f t="shared" si="21"/>
        <v>160.67799999999997</v>
      </c>
      <c r="T88" s="49"/>
      <c r="U88" s="89">
        <f t="shared" si="23"/>
        <v>175.47499999999999</v>
      </c>
    </row>
    <row r="89" spans="1:21" x14ac:dyDescent="0.2">
      <c r="A89" s="110">
        <v>2007</v>
      </c>
      <c r="B89" s="89">
        <v>18.071000000000002</v>
      </c>
      <c r="C89" s="89">
        <v>24.934000000000001</v>
      </c>
      <c r="D89" s="89">
        <v>32.256999999999998</v>
      </c>
      <c r="E89" s="89">
        <v>26.157</v>
      </c>
      <c r="F89" s="89">
        <v>21.25</v>
      </c>
      <c r="G89" s="89">
        <v>0</v>
      </c>
      <c r="H89" s="89">
        <v>0</v>
      </c>
      <c r="I89" s="89">
        <v>0</v>
      </c>
      <c r="J89" s="89">
        <v>0</v>
      </c>
      <c r="K89" s="89">
        <v>19.047000000000001</v>
      </c>
      <c r="L89" s="89">
        <v>20.535</v>
      </c>
      <c r="M89" s="89">
        <v>31.716999999999999</v>
      </c>
      <c r="N89" s="49"/>
      <c r="O89" s="89">
        <f t="shared" si="17"/>
        <v>75.262</v>
      </c>
      <c r="P89" s="89">
        <f t="shared" si="22"/>
        <v>47.406999999999996</v>
      </c>
      <c r="Q89" s="89">
        <f t="shared" si="19"/>
        <v>0</v>
      </c>
      <c r="R89" s="89">
        <f t="shared" si="20"/>
        <v>71.299000000000007</v>
      </c>
      <c r="S89" s="89">
        <f t="shared" si="21"/>
        <v>193.96800000000002</v>
      </c>
      <c r="T89" s="49"/>
      <c r="U89" s="89">
        <f t="shared" si="23"/>
        <v>177.39099999999999</v>
      </c>
    </row>
    <row r="90" spans="1:21" x14ac:dyDescent="0.2">
      <c r="A90" s="110">
        <v>2008</v>
      </c>
      <c r="B90" s="89">
        <v>24.105</v>
      </c>
      <c r="C90" s="89">
        <v>29.751999999999999</v>
      </c>
      <c r="D90" s="89">
        <v>32.433</v>
      </c>
      <c r="E90" s="89">
        <v>0</v>
      </c>
      <c r="F90" s="89">
        <v>0</v>
      </c>
      <c r="G90" s="89">
        <v>0</v>
      </c>
      <c r="H90" s="89">
        <v>0</v>
      </c>
      <c r="I90" s="89">
        <v>0</v>
      </c>
      <c r="J90" s="89">
        <v>0</v>
      </c>
      <c r="K90" s="89">
        <v>12.930999999999999</v>
      </c>
      <c r="L90" s="89">
        <v>30.701000000000001</v>
      </c>
      <c r="M90" s="89">
        <v>31.65</v>
      </c>
      <c r="N90" s="49"/>
      <c r="O90" s="89">
        <f t="shared" si="17"/>
        <v>86.289999999999992</v>
      </c>
      <c r="P90" s="89">
        <f t="shared" si="22"/>
        <v>0</v>
      </c>
      <c r="Q90" s="89">
        <f t="shared" si="19"/>
        <v>0</v>
      </c>
      <c r="R90" s="89">
        <f t="shared" si="20"/>
        <v>75.281999999999996</v>
      </c>
      <c r="S90" s="89">
        <f t="shared" si="21"/>
        <v>161.572</v>
      </c>
      <c r="T90" s="49"/>
      <c r="U90" s="89">
        <f t="shared" si="23"/>
        <v>157.589</v>
      </c>
    </row>
    <row r="91" spans="1:21" x14ac:dyDescent="0.2">
      <c r="A91" s="110">
        <v>2009</v>
      </c>
      <c r="B91" s="89">
        <v>29.771000000000001</v>
      </c>
      <c r="C91" s="89">
        <v>28.998999999999999</v>
      </c>
      <c r="D91" s="89">
        <v>17.88</v>
      </c>
      <c r="E91" s="89">
        <v>0</v>
      </c>
      <c r="F91" s="89">
        <v>0</v>
      </c>
      <c r="G91" s="89">
        <v>0</v>
      </c>
      <c r="H91" s="89">
        <v>0</v>
      </c>
      <c r="I91" s="89">
        <v>0</v>
      </c>
      <c r="J91" s="89">
        <v>0</v>
      </c>
      <c r="K91" s="89">
        <v>11.929</v>
      </c>
      <c r="L91" s="89">
        <v>25.370999999999999</v>
      </c>
      <c r="M91" s="89">
        <v>1.2589999999999999</v>
      </c>
      <c r="N91" s="49"/>
      <c r="O91" s="89">
        <f t="shared" si="17"/>
        <v>76.649999999999991</v>
      </c>
      <c r="P91" s="89">
        <f t="shared" si="22"/>
        <v>0</v>
      </c>
      <c r="Q91" s="89">
        <f t="shared" si="19"/>
        <v>0</v>
      </c>
      <c r="R91" s="89">
        <f t="shared" si="20"/>
        <v>38.558999999999997</v>
      </c>
      <c r="S91" s="89">
        <f t="shared" si="21"/>
        <v>115.20899999999999</v>
      </c>
      <c r="T91" s="49"/>
      <c r="U91" s="89">
        <f t="shared" si="23"/>
        <v>151.93199999999999</v>
      </c>
    </row>
    <row r="92" spans="1:21" x14ac:dyDescent="0.2">
      <c r="A92" s="110">
        <v>2010</v>
      </c>
      <c r="B92" s="89">
        <v>24.978000000000002</v>
      </c>
      <c r="C92" s="89">
        <v>2.984</v>
      </c>
      <c r="D92" s="89">
        <v>24.709</v>
      </c>
      <c r="E92" s="89">
        <v>16.263000000000002</v>
      </c>
      <c r="F92" s="89">
        <v>4.165</v>
      </c>
      <c r="G92" s="89">
        <v>0</v>
      </c>
      <c r="H92" s="89">
        <v>0</v>
      </c>
      <c r="I92" s="89">
        <v>0</v>
      </c>
      <c r="J92" s="89">
        <v>0</v>
      </c>
      <c r="K92" s="89">
        <v>20.812999999999999</v>
      </c>
      <c r="L92" s="89">
        <v>29.417999999999999</v>
      </c>
      <c r="M92" s="89">
        <v>28.536000000000001</v>
      </c>
      <c r="N92" s="49"/>
      <c r="O92" s="89">
        <f t="shared" si="17"/>
        <v>52.671000000000006</v>
      </c>
      <c r="P92" s="89">
        <f t="shared" si="22"/>
        <v>20.428000000000001</v>
      </c>
      <c r="Q92" s="89">
        <f t="shared" si="19"/>
        <v>0</v>
      </c>
      <c r="R92" s="89">
        <f t="shared" si="20"/>
        <v>78.766999999999996</v>
      </c>
      <c r="S92" s="89">
        <f t="shared" si="21"/>
        <v>151.86600000000001</v>
      </c>
      <c r="T92" s="49"/>
      <c r="U92" s="89">
        <f t="shared" si="23"/>
        <v>111.658</v>
      </c>
    </row>
    <row r="93" spans="1:21" x14ac:dyDescent="0.2">
      <c r="A93" s="110">
        <v>2011</v>
      </c>
      <c r="B93" s="89">
        <v>22.414999999999999</v>
      </c>
      <c r="C93" s="89">
        <v>27.713999999999999</v>
      </c>
      <c r="D93" s="89">
        <v>16.898</v>
      </c>
      <c r="E93" s="89">
        <v>0</v>
      </c>
      <c r="F93" s="89">
        <v>0</v>
      </c>
      <c r="G93" s="89">
        <v>0</v>
      </c>
      <c r="H93" s="89">
        <v>0</v>
      </c>
      <c r="I93" s="89">
        <v>0</v>
      </c>
      <c r="J93" s="89">
        <v>0</v>
      </c>
      <c r="K93" s="89">
        <v>21.283000000000001</v>
      </c>
      <c r="L93" s="89">
        <v>31.864000000000001</v>
      </c>
      <c r="M93" s="89">
        <v>24.053999999999998</v>
      </c>
      <c r="N93" s="49"/>
      <c r="O93" s="89">
        <f t="shared" si="17"/>
        <v>67.027000000000001</v>
      </c>
      <c r="P93" s="89">
        <f t="shared" si="22"/>
        <v>0</v>
      </c>
      <c r="Q93" s="89">
        <f t="shared" si="19"/>
        <v>0</v>
      </c>
      <c r="R93" s="89">
        <f t="shared" si="20"/>
        <v>77.201000000000008</v>
      </c>
      <c r="S93" s="89">
        <f t="shared" si="21"/>
        <v>144.22800000000001</v>
      </c>
      <c r="T93" s="49"/>
      <c r="U93" s="89">
        <f t="shared" si="23"/>
        <v>145.79399999999998</v>
      </c>
    </row>
    <row r="94" spans="1:21" x14ac:dyDescent="0.2">
      <c r="A94" s="132">
        <v>2012</v>
      </c>
      <c r="B94" s="89">
        <v>32.524999999999999</v>
      </c>
      <c r="C94" s="89">
        <v>4.6790000000000003</v>
      </c>
      <c r="D94" s="89">
        <v>27.073</v>
      </c>
      <c r="E94" s="89">
        <v>8.34</v>
      </c>
      <c r="F94" s="89">
        <v>0</v>
      </c>
      <c r="G94" s="89">
        <v>0</v>
      </c>
      <c r="H94" s="89">
        <v>0</v>
      </c>
      <c r="I94" s="89">
        <v>0</v>
      </c>
      <c r="J94" s="89">
        <v>0</v>
      </c>
      <c r="K94" s="89">
        <v>26.181999999999999</v>
      </c>
      <c r="L94" s="89">
        <v>24.664999999999999</v>
      </c>
      <c r="M94" s="89">
        <v>31.271999999999998</v>
      </c>
      <c r="N94" s="49"/>
      <c r="O94" s="89">
        <f t="shared" si="17"/>
        <v>64.277000000000001</v>
      </c>
      <c r="P94" s="89">
        <f t="shared" si="22"/>
        <v>8.34</v>
      </c>
      <c r="Q94" s="89">
        <f t="shared" si="19"/>
        <v>0</v>
      </c>
      <c r="R94" s="89">
        <f t="shared" si="20"/>
        <v>82.119</v>
      </c>
      <c r="S94" s="89">
        <f t="shared" si="21"/>
        <v>154.73599999999999</v>
      </c>
      <c r="T94" s="49"/>
      <c r="U94" s="89">
        <f t="shared" si="23"/>
        <v>149.81800000000001</v>
      </c>
    </row>
    <row r="95" spans="1:21" x14ac:dyDescent="0.2">
      <c r="A95" s="132">
        <v>2013</v>
      </c>
      <c r="B95" s="89">
        <v>28.331</v>
      </c>
      <c r="C95" s="89">
        <v>27.39</v>
      </c>
      <c r="D95" s="89">
        <v>31.061</v>
      </c>
      <c r="E95" s="89">
        <v>0</v>
      </c>
      <c r="F95" s="89">
        <v>0</v>
      </c>
      <c r="G95" s="89">
        <v>0</v>
      </c>
      <c r="H95" s="89">
        <v>0</v>
      </c>
      <c r="I95" s="89">
        <v>0</v>
      </c>
      <c r="J95" s="89">
        <v>4.0730000000000004</v>
      </c>
      <c r="K95" s="89">
        <v>6.9539999999999997</v>
      </c>
      <c r="L95" s="89">
        <v>19.024999999999999</v>
      </c>
      <c r="M95" s="89">
        <v>18.247</v>
      </c>
      <c r="N95" s="49"/>
      <c r="O95" s="89">
        <f t="shared" si="17"/>
        <v>86.782000000000011</v>
      </c>
      <c r="P95" s="89">
        <f t="shared" si="22"/>
        <v>0</v>
      </c>
      <c r="Q95" s="89">
        <f t="shared" si="19"/>
        <v>4.0730000000000004</v>
      </c>
      <c r="R95" s="89">
        <f t="shared" si="20"/>
        <v>44.225999999999999</v>
      </c>
      <c r="S95" s="89">
        <f t="shared" si="21"/>
        <v>135.08100000000002</v>
      </c>
      <c r="T95" s="49"/>
      <c r="U95" s="89">
        <f t="shared" si="23"/>
        <v>172.97400000000002</v>
      </c>
    </row>
    <row r="96" spans="1:21" x14ac:dyDescent="0.2">
      <c r="A96" s="132">
        <v>2014</v>
      </c>
      <c r="B96" s="89">
        <v>11.683999999999999</v>
      </c>
      <c r="C96" s="89">
        <v>25.837</v>
      </c>
      <c r="D96" s="89">
        <v>25.803000000000001</v>
      </c>
      <c r="E96" s="89">
        <v>33.198999999999998</v>
      </c>
      <c r="F96" s="89">
        <v>4.5919999999999996</v>
      </c>
      <c r="G96" s="89">
        <v>0</v>
      </c>
      <c r="H96" s="89">
        <v>0</v>
      </c>
      <c r="I96" s="89">
        <v>0</v>
      </c>
      <c r="J96" s="89">
        <v>0</v>
      </c>
      <c r="K96" s="89">
        <v>3.577</v>
      </c>
      <c r="L96" s="89">
        <v>4.798</v>
      </c>
      <c r="M96" s="89">
        <v>16.044</v>
      </c>
      <c r="N96" s="49"/>
      <c r="O96" s="89">
        <f t="shared" si="17"/>
        <v>63.323999999999998</v>
      </c>
      <c r="P96" s="89">
        <f t="shared" si="22"/>
        <v>37.790999999999997</v>
      </c>
      <c r="Q96" s="89">
        <f t="shared" si="19"/>
        <v>0</v>
      </c>
      <c r="R96" s="89">
        <f t="shared" si="20"/>
        <v>24.419</v>
      </c>
      <c r="S96" s="89">
        <f t="shared" si="21"/>
        <v>125.53399999999999</v>
      </c>
      <c r="T96" s="49"/>
      <c r="U96" s="89">
        <f t="shared" si="23"/>
        <v>145.34100000000001</v>
      </c>
    </row>
    <row r="97" spans="1:21" x14ac:dyDescent="0.2">
      <c r="A97" s="132">
        <v>2015</v>
      </c>
      <c r="B97" s="89">
        <v>2.8929999999999998</v>
      </c>
      <c r="C97" s="89">
        <v>21.06</v>
      </c>
      <c r="D97" s="89">
        <v>7.6440000000000001</v>
      </c>
      <c r="E97" s="89">
        <v>9.782</v>
      </c>
      <c r="F97" s="89">
        <v>13.836</v>
      </c>
      <c r="G97" s="89">
        <v>20.872</v>
      </c>
      <c r="H97" s="89">
        <v>14.529</v>
      </c>
      <c r="I97" s="89">
        <v>8.2379999999999995</v>
      </c>
      <c r="J97" s="89">
        <v>0</v>
      </c>
      <c r="K97" s="89">
        <v>0</v>
      </c>
      <c r="L97" s="89">
        <v>12.215</v>
      </c>
      <c r="M97" s="89">
        <v>25.388999999999999</v>
      </c>
      <c r="N97" s="49"/>
      <c r="O97" s="89">
        <f t="shared" si="17"/>
        <v>31.597000000000001</v>
      </c>
      <c r="P97" s="89">
        <f t="shared" si="22"/>
        <v>44.49</v>
      </c>
      <c r="Q97" s="89">
        <f t="shared" si="19"/>
        <v>22.766999999999999</v>
      </c>
      <c r="R97" s="89">
        <f t="shared" si="20"/>
        <v>37.603999999999999</v>
      </c>
      <c r="S97" s="89">
        <f t="shared" si="21"/>
        <v>136.458</v>
      </c>
      <c r="T97" s="49"/>
      <c r="U97" s="89">
        <f t="shared" si="23"/>
        <v>123.273</v>
      </c>
    </row>
    <row r="98" spans="1:21" x14ac:dyDescent="0.2">
      <c r="A98" s="132">
        <v>2016</v>
      </c>
      <c r="B98" s="89">
        <v>20.370999999999999</v>
      </c>
      <c r="C98" s="89">
        <v>29.443000000000001</v>
      </c>
      <c r="D98" s="89">
        <v>25.178999999999998</v>
      </c>
      <c r="E98" s="89">
        <v>3.82</v>
      </c>
      <c r="F98" s="89">
        <v>0</v>
      </c>
      <c r="G98" s="89">
        <v>0</v>
      </c>
      <c r="H98" s="89">
        <v>0</v>
      </c>
      <c r="I98" s="89">
        <v>0</v>
      </c>
      <c r="J98" s="89">
        <v>0</v>
      </c>
      <c r="K98" s="89">
        <v>24.533000000000001</v>
      </c>
      <c r="L98" s="89">
        <v>24.510999999999999</v>
      </c>
      <c r="M98" s="89">
        <v>23.812999999999999</v>
      </c>
      <c r="N98" s="49"/>
      <c r="O98" s="89">
        <f t="shared" si="17"/>
        <v>74.992999999999995</v>
      </c>
      <c r="P98" s="89">
        <f t="shared" si="22"/>
        <v>3.82</v>
      </c>
      <c r="Q98" s="89">
        <f t="shared" si="19"/>
        <v>0</v>
      </c>
      <c r="R98" s="89">
        <f t="shared" si="20"/>
        <v>72.856999999999999</v>
      </c>
      <c r="S98" s="89">
        <f t="shared" si="21"/>
        <v>151.66999999999999</v>
      </c>
      <c r="T98" s="49"/>
      <c r="U98" s="89">
        <f t="shared" si="23"/>
        <v>116.41699999999999</v>
      </c>
    </row>
    <row r="99" spans="1:21" x14ac:dyDescent="0.2">
      <c r="A99" s="132">
        <v>2017</v>
      </c>
      <c r="B99" s="89">
        <v>23.45</v>
      </c>
      <c r="C99" s="89">
        <v>24.23</v>
      </c>
      <c r="D99" s="89">
        <v>14.988</v>
      </c>
      <c r="E99" s="89">
        <v>4.8120000000000003</v>
      </c>
      <c r="F99" s="89">
        <v>0</v>
      </c>
      <c r="G99" s="89">
        <v>0</v>
      </c>
      <c r="H99" s="89">
        <v>0</v>
      </c>
      <c r="I99" s="89">
        <v>0</v>
      </c>
      <c r="J99" s="89">
        <v>0</v>
      </c>
      <c r="K99" s="89">
        <v>10.327999999999999</v>
      </c>
      <c r="L99" s="89">
        <v>29.007999999999999</v>
      </c>
      <c r="M99" s="89">
        <v>20.940999999999999</v>
      </c>
      <c r="N99" s="49"/>
      <c r="O99" s="89">
        <f t="shared" si="17"/>
        <v>62.667999999999999</v>
      </c>
      <c r="P99" s="89">
        <f t="shared" si="22"/>
        <v>4.8120000000000003</v>
      </c>
      <c r="Q99" s="89">
        <f t="shared" si="19"/>
        <v>0</v>
      </c>
      <c r="R99" s="89">
        <f t="shared" si="20"/>
        <v>60.277000000000001</v>
      </c>
      <c r="S99" s="89">
        <f t="shared" si="21"/>
        <v>127.75700000000001</v>
      </c>
      <c r="T99" s="49"/>
      <c r="U99" s="89">
        <f t="shared" si="23"/>
        <v>140.33699999999999</v>
      </c>
    </row>
    <row r="100" spans="1:21" x14ac:dyDescent="0.2">
      <c r="A100" s="132">
        <v>2018</v>
      </c>
      <c r="B100" s="89">
        <v>28.800999999999998</v>
      </c>
      <c r="C100" s="89">
        <v>23.219000000000001</v>
      </c>
      <c r="D100" s="89">
        <v>25.949000000000002</v>
      </c>
      <c r="E100" s="89">
        <v>20.562000000000001</v>
      </c>
      <c r="F100" s="89">
        <v>10.032</v>
      </c>
      <c r="G100" s="89">
        <v>0</v>
      </c>
      <c r="H100" s="89">
        <v>0</v>
      </c>
      <c r="I100" s="89">
        <v>-5.5E-2</v>
      </c>
      <c r="J100" s="89">
        <v>0</v>
      </c>
      <c r="K100" s="89">
        <v>9.3000000000000007</v>
      </c>
      <c r="L100" s="89">
        <v>26.751999999999999</v>
      </c>
      <c r="M100" s="89">
        <v>32.283000000000001</v>
      </c>
      <c r="N100" s="49"/>
      <c r="O100" s="89">
        <f t="shared" si="17"/>
        <v>77.968999999999994</v>
      </c>
      <c r="P100" s="89">
        <f t="shared" si="22"/>
        <v>30.594000000000001</v>
      </c>
      <c r="Q100" s="89">
        <f t="shared" si="19"/>
        <v>-5.5E-2</v>
      </c>
      <c r="R100" s="89">
        <f t="shared" si="20"/>
        <v>68.335000000000008</v>
      </c>
      <c r="S100" s="89">
        <f t="shared" si="21"/>
        <v>176.84299999999996</v>
      </c>
      <c r="T100" s="49"/>
      <c r="U100" s="89">
        <f t="shared" si="23"/>
        <v>168.78499999999997</v>
      </c>
    </row>
    <row r="101" spans="1:21" x14ac:dyDescent="0.2">
      <c r="A101" s="132">
        <v>2019</v>
      </c>
      <c r="B101" s="89">
        <v>30.47</v>
      </c>
      <c r="C101" s="89">
        <v>27.713000000000001</v>
      </c>
      <c r="D101" s="89">
        <v>21.024999999999999</v>
      </c>
      <c r="E101" s="89">
        <v>0</v>
      </c>
      <c r="F101" s="89">
        <v>-0.251</v>
      </c>
      <c r="G101" s="89">
        <v>0</v>
      </c>
      <c r="H101" s="89">
        <v>0</v>
      </c>
      <c r="I101" s="89">
        <v>0</v>
      </c>
      <c r="J101" s="89">
        <v>0</v>
      </c>
      <c r="K101" s="89">
        <v>8.1319999999999997</v>
      </c>
      <c r="L101" s="89">
        <v>21.725000000000001</v>
      </c>
      <c r="M101" s="89">
        <v>34.317</v>
      </c>
      <c r="N101" s="49"/>
      <c r="O101" s="89">
        <f t="shared" si="17"/>
        <v>79.207999999999998</v>
      </c>
      <c r="P101" s="89">
        <f t="shared" si="22"/>
        <v>-0.251</v>
      </c>
      <c r="Q101" s="89">
        <f t="shared" si="19"/>
        <v>0</v>
      </c>
      <c r="R101" s="89">
        <f t="shared" si="20"/>
        <v>64.174000000000007</v>
      </c>
      <c r="S101" s="89">
        <f t="shared" si="21"/>
        <v>143.131</v>
      </c>
      <c r="T101" s="49"/>
      <c r="U101" s="89">
        <f t="shared" ref="U101:U106" si="24">R100+SUM(O101:Q101)</f>
        <v>147.292</v>
      </c>
    </row>
    <row r="102" spans="1:21" x14ac:dyDescent="0.2">
      <c r="A102" s="132">
        <v>2020</v>
      </c>
      <c r="B102" s="89">
        <v>37.158999999999999</v>
      </c>
      <c r="C102" s="89">
        <v>24.902000000000001</v>
      </c>
      <c r="D102" s="89">
        <v>0</v>
      </c>
      <c r="E102" s="89">
        <v>0</v>
      </c>
      <c r="F102" s="89">
        <v>0</v>
      </c>
      <c r="G102" s="89">
        <v>0</v>
      </c>
      <c r="H102" s="89">
        <v>0</v>
      </c>
      <c r="I102" s="89">
        <v>0</v>
      </c>
      <c r="J102" s="89">
        <v>0</v>
      </c>
      <c r="K102" s="89">
        <v>8.6232000000000006</v>
      </c>
      <c r="L102" s="89">
        <v>30.483900000000002</v>
      </c>
      <c r="M102" s="89">
        <v>33.522349999999996</v>
      </c>
      <c r="N102" s="49"/>
      <c r="O102" s="89">
        <f t="shared" si="17"/>
        <v>62.061</v>
      </c>
      <c r="P102" s="89">
        <f t="shared" si="22"/>
        <v>0</v>
      </c>
      <c r="Q102" s="89">
        <f t="shared" si="19"/>
        <v>0</v>
      </c>
      <c r="R102" s="89">
        <f t="shared" si="20"/>
        <v>72.629449999999991</v>
      </c>
      <c r="S102" s="89">
        <f t="shared" si="21"/>
        <v>134.69045</v>
      </c>
      <c r="T102" s="49"/>
      <c r="U102" s="89">
        <f t="shared" si="24"/>
        <v>126.23500000000001</v>
      </c>
    </row>
    <row r="103" spans="1:21" x14ac:dyDescent="0.2">
      <c r="A103" s="132">
        <v>2021</v>
      </c>
      <c r="B103" s="89">
        <v>36.5807</v>
      </c>
      <c r="C103" s="89">
        <v>24.301099999999998</v>
      </c>
      <c r="D103" s="89">
        <v>0</v>
      </c>
      <c r="E103" s="89">
        <v>0</v>
      </c>
      <c r="F103" s="89">
        <v>0</v>
      </c>
      <c r="G103" s="89">
        <v>0</v>
      </c>
      <c r="H103" s="89">
        <v>0</v>
      </c>
      <c r="I103" s="89">
        <v>0</v>
      </c>
      <c r="J103" s="124">
        <v>0</v>
      </c>
      <c r="K103" s="124">
        <v>7.4660000000000002</v>
      </c>
      <c r="L103" s="124">
        <v>14.731</v>
      </c>
      <c r="M103" s="124">
        <v>16.844000000000001</v>
      </c>
      <c r="N103" s="49"/>
      <c r="O103" s="89">
        <f>SUM(B103:D103)</f>
        <v>60.881799999999998</v>
      </c>
      <c r="P103" s="89">
        <f>SUM(E103:G103)</f>
        <v>0</v>
      </c>
      <c r="Q103" s="89">
        <f>SUM(H103:J103)</f>
        <v>0</v>
      </c>
      <c r="R103" s="89">
        <f>SUM(K103:M103)</f>
        <v>39.040999999999997</v>
      </c>
      <c r="S103" s="89">
        <f>SUM(B103:M103)</f>
        <v>99.922799999999995</v>
      </c>
      <c r="T103" s="49"/>
      <c r="U103" s="89">
        <f t="shared" si="24"/>
        <v>133.51124999999999</v>
      </c>
    </row>
    <row r="104" spans="1:21" x14ac:dyDescent="0.2">
      <c r="A104" s="132">
        <v>2022</v>
      </c>
      <c r="B104" s="89">
        <v>21.294</v>
      </c>
      <c r="C104" s="124">
        <v>12.916</v>
      </c>
      <c r="D104" s="124">
        <v>36.091999999999999</v>
      </c>
      <c r="E104" s="124">
        <v>14.406000000000001</v>
      </c>
      <c r="F104" s="89">
        <v>0</v>
      </c>
      <c r="G104" s="124">
        <v>0</v>
      </c>
      <c r="H104" s="124">
        <v>0</v>
      </c>
      <c r="I104" s="124">
        <v>0</v>
      </c>
      <c r="J104" s="124">
        <v>0</v>
      </c>
      <c r="K104" s="124">
        <v>0</v>
      </c>
      <c r="L104" s="124">
        <v>7.931</v>
      </c>
      <c r="M104" s="124">
        <v>26.617999999999999</v>
      </c>
      <c r="N104" s="49"/>
      <c r="O104" s="89">
        <f>SUM(B104:D104)</f>
        <v>70.301999999999992</v>
      </c>
      <c r="P104" s="89">
        <f>SUM(E104:G104)</f>
        <v>14.406000000000001</v>
      </c>
      <c r="Q104" s="89">
        <f>SUM(H104:J104)</f>
        <v>0</v>
      </c>
      <c r="R104" s="89">
        <f>SUM(K104:M104)</f>
        <v>34.548999999999999</v>
      </c>
      <c r="S104" s="89">
        <f>SUM(B104:M104)</f>
        <v>119.25699999999999</v>
      </c>
      <c r="T104" s="49"/>
      <c r="U104" s="89">
        <f t="shared" si="24"/>
        <v>123.749</v>
      </c>
    </row>
    <row r="105" spans="1:21" x14ac:dyDescent="0.2">
      <c r="A105" s="132">
        <v>2023</v>
      </c>
      <c r="B105" s="89">
        <v>32.572000000000003</v>
      </c>
      <c r="C105" s="124">
        <v>9.3130000000000006</v>
      </c>
      <c r="D105" s="124">
        <v>0</v>
      </c>
      <c r="E105" s="124">
        <v>0</v>
      </c>
      <c r="F105" s="124">
        <v>0</v>
      </c>
      <c r="G105" s="124">
        <v>0</v>
      </c>
      <c r="H105" s="124">
        <v>0</v>
      </c>
      <c r="I105" s="124">
        <v>0</v>
      </c>
      <c r="J105" s="124">
        <v>0</v>
      </c>
      <c r="K105" s="124">
        <v>0</v>
      </c>
      <c r="L105" s="124">
        <v>0</v>
      </c>
      <c r="M105" s="124">
        <v>17.175999999999998</v>
      </c>
      <c r="N105" s="49"/>
      <c r="O105" s="89">
        <f>SUM(B105:D105)</f>
        <v>41.885000000000005</v>
      </c>
      <c r="P105" s="89">
        <f>SUM(E105:G105)</f>
        <v>0</v>
      </c>
      <c r="Q105" s="89">
        <f>SUM(H105:J105)</f>
        <v>0</v>
      </c>
      <c r="R105" s="89">
        <f>SUM(K105:M105)</f>
        <v>17.175999999999998</v>
      </c>
      <c r="S105" s="89">
        <f>SUM(B105:M105)</f>
        <v>59.061000000000007</v>
      </c>
      <c r="T105" s="49"/>
      <c r="U105" s="89">
        <f t="shared" si="24"/>
        <v>76.433999999999997</v>
      </c>
    </row>
    <row r="106" spans="1:21" x14ac:dyDescent="0.2">
      <c r="A106" s="132">
        <v>2024</v>
      </c>
      <c r="B106" s="89">
        <v>13.920999999999999</v>
      </c>
      <c r="C106" s="124">
        <v>8.6129999999999995</v>
      </c>
      <c r="D106" s="124">
        <v>0</v>
      </c>
      <c r="E106" s="124">
        <v>0</v>
      </c>
      <c r="F106" s="124">
        <v>0</v>
      </c>
      <c r="G106" s="124">
        <v>0</v>
      </c>
      <c r="H106" s="124">
        <v>0</v>
      </c>
      <c r="I106" s="124">
        <v>0</v>
      </c>
      <c r="J106" s="124">
        <v>0</v>
      </c>
      <c r="K106" s="124">
        <v>0</v>
      </c>
      <c r="L106" s="124">
        <v>0</v>
      </c>
      <c r="M106" s="124" t="s">
        <v>152</v>
      </c>
      <c r="N106" s="49"/>
      <c r="O106" s="89">
        <f>SUM(B106:D106)</f>
        <v>22.533999999999999</v>
      </c>
      <c r="P106" s="89">
        <f>SUM(E106:G106)</f>
        <v>0</v>
      </c>
      <c r="Q106" s="124" t="s">
        <v>152</v>
      </c>
      <c r="R106" s="124" t="s">
        <v>152</v>
      </c>
      <c r="S106" s="124" t="s">
        <v>152</v>
      </c>
      <c r="T106" s="49"/>
      <c r="U106" s="89">
        <f t="shared" si="24"/>
        <v>39.709999999999994</v>
      </c>
    </row>
    <row r="107" spans="1:21" x14ac:dyDescent="0.2">
      <c r="A107" s="207" t="s">
        <v>178</v>
      </c>
      <c r="B107" s="89"/>
      <c r="C107" s="89"/>
      <c r="D107" s="89"/>
      <c r="E107" s="89"/>
      <c r="F107" s="89"/>
      <c r="G107" s="89"/>
      <c r="H107" s="89"/>
      <c r="I107" s="89"/>
      <c r="J107" s="89"/>
      <c r="K107" s="89"/>
      <c r="L107" s="89"/>
      <c r="M107" s="89"/>
      <c r="N107" s="49"/>
      <c r="O107" s="89"/>
      <c r="P107" s="89"/>
      <c r="Q107" s="89"/>
      <c r="R107" s="89"/>
      <c r="S107" s="89"/>
      <c r="T107" s="49"/>
      <c r="U107" s="215"/>
    </row>
    <row r="108" spans="1:21" x14ac:dyDescent="0.2">
      <c r="A108" s="33">
        <v>1992</v>
      </c>
      <c r="B108" s="89">
        <v>7.9</v>
      </c>
      <c r="C108" s="89">
        <v>11.3</v>
      </c>
      <c r="D108" s="89">
        <v>43.7</v>
      </c>
      <c r="E108" s="89">
        <v>60.4</v>
      </c>
      <c r="F108" s="89">
        <v>75.3</v>
      </c>
      <c r="G108" s="89">
        <v>95.8</v>
      </c>
      <c r="H108" s="89">
        <v>87.4</v>
      </c>
      <c r="I108" s="89">
        <v>93.8</v>
      </c>
      <c r="J108" s="89">
        <v>52.9</v>
      </c>
      <c r="K108" s="89">
        <v>58.1</v>
      </c>
      <c r="L108" s="89">
        <v>49.8</v>
      </c>
      <c r="M108" s="89">
        <v>12.4</v>
      </c>
      <c r="N108" s="49"/>
      <c r="O108" s="89">
        <f t="shared" ref="O108:O133" si="25">SUM(B108:D108)</f>
        <v>62.900000000000006</v>
      </c>
      <c r="P108" s="89">
        <f t="shared" ref="P108:P133" si="26">SUM(E108:G108)</f>
        <v>231.5</v>
      </c>
      <c r="Q108" s="89">
        <f t="shared" ref="Q108:Q133" si="27">SUM(H108:J108)</f>
        <v>234.1</v>
      </c>
      <c r="R108" s="89">
        <f t="shared" ref="R108:R133" si="28">SUM(K108:M108)</f>
        <v>120.30000000000001</v>
      </c>
      <c r="S108" s="89">
        <f t="shared" ref="S108:S133" si="29">SUM(B108:M108)</f>
        <v>648.80000000000007</v>
      </c>
      <c r="T108" s="49"/>
      <c r="U108" s="89">
        <v>688.4</v>
      </c>
    </row>
    <row r="109" spans="1:21" x14ac:dyDescent="0.2">
      <c r="A109" s="33">
        <v>1993</v>
      </c>
      <c r="B109" s="89">
        <v>10.5</v>
      </c>
      <c r="C109" s="89">
        <v>20.3</v>
      </c>
      <c r="D109" s="89">
        <v>42.3</v>
      </c>
      <c r="E109" s="89">
        <v>56.4</v>
      </c>
      <c r="F109" s="89">
        <v>88.8</v>
      </c>
      <c r="G109" s="89">
        <v>78.099999999999994</v>
      </c>
      <c r="H109" s="89">
        <v>73.3</v>
      </c>
      <c r="I109" s="89">
        <v>91.9</v>
      </c>
      <c r="J109" s="89">
        <v>75.5</v>
      </c>
      <c r="K109" s="89">
        <v>74.400000000000006</v>
      </c>
      <c r="L109" s="89">
        <v>50.5</v>
      </c>
      <c r="M109" s="89">
        <v>14.8</v>
      </c>
      <c r="N109" s="49"/>
      <c r="O109" s="89">
        <f t="shared" si="25"/>
        <v>73.099999999999994</v>
      </c>
      <c r="P109" s="89">
        <f t="shared" si="26"/>
        <v>223.29999999999998</v>
      </c>
      <c r="Q109" s="89">
        <f t="shared" si="27"/>
        <v>240.7</v>
      </c>
      <c r="R109" s="89">
        <f t="shared" si="28"/>
        <v>139.70000000000002</v>
      </c>
      <c r="S109" s="89">
        <f t="shared" si="29"/>
        <v>676.8</v>
      </c>
      <c r="T109" s="49"/>
      <c r="U109" s="89">
        <f>R108+SUM(O109:Q109)</f>
        <v>657.39999999999986</v>
      </c>
    </row>
    <row r="110" spans="1:21" x14ac:dyDescent="0.2">
      <c r="A110" s="33">
        <v>1994</v>
      </c>
      <c r="B110" s="89">
        <v>9.1999999999999993</v>
      </c>
      <c r="C110" s="89">
        <v>14.5</v>
      </c>
      <c r="D110" s="89">
        <v>26.3</v>
      </c>
      <c r="E110" s="89">
        <v>62.1</v>
      </c>
      <c r="F110" s="89">
        <v>102.3</v>
      </c>
      <c r="G110" s="89">
        <v>85.5</v>
      </c>
      <c r="H110" s="89">
        <v>102</v>
      </c>
      <c r="I110" s="89">
        <v>91</v>
      </c>
      <c r="J110" s="89">
        <v>72.8</v>
      </c>
      <c r="K110" s="89">
        <v>62.7</v>
      </c>
      <c r="L110" s="89">
        <v>21.31</v>
      </c>
      <c r="M110" s="89">
        <v>6.99</v>
      </c>
      <c r="N110" s="49"/>
      <c r="O110" s="89">
        <f t="shared" si="25"/>
        <v>50</v>
      </c>
      <c r="P110" s="89">
        <f t="shared" si="26"/>
        <v>249.9</v>
      </c>
      <c r="Q110" s="89">
        <f t="shared" si="27"/>
        <v>265.8</v>
      </c>
      <c r="R110" s="89">
        <f t="shared" si="28"/>
        <v>91</v>
      </c>
      <c r="S110" s="89">
        <f t="shared" si="29"/>
        <v>656.69999999999993</v>
      </c>
      <c r="T110" s="49"/>
      <c r="U110" s="89">
        <f>R109+SUM(O110:Q110)</f>
        <v>705.40000000000009</v>
      </c>
    </row>
    <row r="111" spans="1:21" x14ac:dyDescent="0.2">
      <c r="A111" s="35">
        <v>1995</v>
      </c>
      <c r="B111" s="89">
        <v>8.2240000000000002</v>
      </c>
      <c r="C111" s="89">
        <v>8.4789999999999992</v>
      </c>
      <c r="D111" s="89">
        <v>25.536999999999999</v>
      </c>
      <c r="E111" s="89">
        <v>47.594000000000001</v>
      </c>
      <c r="F111" s="89">
        <v>58.171999999999997</v>
      </c>
      <c r="G111" s="89">
        <v>64.921000000000006</v>
      </c>
      <c r="H111" s="89">
        <v>75.311000000000007</v>
      </c>
      <c r="I111" s="89">
        <v>62.381999999999998</v>
      </c>
      <c r="J111" s="89">
        <v>57.682000000000002</v>
      </c>
      <c r="K111" s="89">
        <v>60.843000000000004</v>
      </c>
      <c r="L111" s="89">
        <v>12.35</v>
      </c>
      <c r="M111" s="89">
        <v>9.3379999999999992</v>
      </c>
      <c r="N111" s="49"/>
      <c r="O111" s="89">
        <f t="shared" si="25"/>
        <v>42.239999999999995</v>
      </c>
      <c r="P111" s="89">
        <f t="shared" si="26"/>
        <v>170.68700000000001</v>
      </c>
      <c r="Q111" s="89">
        <f t="shared" si="27"/>
        <v>195.375</v>
      </c>
      <c r="R111" s="89">
        <f t="shared" si="28"/>
        <v>82.530999999999992</v>
      </c>
      <c r="S111" s="89">
        <f t="shared" si="29"/>
        <v>490.83300000000014</v>
      </c>
      <c r="T111" s="49"/>
      <c r="U111" s="89">
        <v>499</v>
      </c>
    </row>
    <row r="112" spans="1:21" x14ac:dyDescent="0.2">
      <c r="A112" s="35">
        <v>1996</v>
      </c>
      <c r="B112" s="89">
        <v>7.0389999999999997</v>
      </c>
      <c r="C112" s="89">
        <v>9.8819999999999997</v>
      </c>
      <c r="D112" s="89">
        <v>23.213999999999999</v>
      </c>
      <c r="E112" s="89">
        <v>35.572000000000003</v>
      </c>
      <c r="F112" s="89">
        <v>53.911999999999999</v>
      </c>
      <c r="G112" s="89">
        <v>71.66</v>
      </c>
      <c r="H112" s="89">
        <v>52.947000000000003</v>
      </c>
      <c r="I112" s="89">
        <v>59.374000000000002</v>
      </c>
      <c r="J112" s="89">
        <v>61.534999999999997</v>
      </c>
      <c r="K112" s="89">
        <v>33.707000000000001</v>
      </c>
      <c r="L112" s="89">
        <v>13.805999999999999</v>
      </c>
      <c r="M112" s="89">
        <v>8.923</v>
      </c>
      <c r="N112" s="49"/>
      <c r="O112" s="89">
        <f t="shared" si="25"/>
        <v>40.134999999999998</v>
      </c>
      <c r="P112" s="89">
        <f t="shared" si="26"/>
        <v>161.14400000000001</v>
      </c>
      <c r="Q112" s="89">
        <f t="shared" si="27"/>
        <v>173.85599999999999</v>
      </c>
      <c r="R112" s="89">
        <f t="shared" si="28"/>
        <v>56.436</v>
      </c>
      <c r="S112" s="89">
        <f t="shared" si="29"/>
        <v>431.57099999999997</v>
      </c>
      <c r="T112" s="49"/>
      <c r="U112" s="89">
        <f t="shared" ref="U112:U133" si="30">R111+SUM(O112:Q112)</f>
        <v>457.666</v>
      </c>
    </row>
    <row r="113" spans="1:21" x14ac:dyDescent="0.2">
      <c r="A113" s="35">
        <v>1997</v>
      </c>
      <c r="B113" s="89">
        <v>0</v>
      </c>
      <c r="C113" s="89">
        <v>0</v>
      </c>
      <c r="D113" s="89">
        <v>1.075</v>
      </c>
      <c r="E113" s="89">
        <v>24.423999999999999</v>
      </c>
      <c r="F113" s="89">
        <v>35.375</v>
      </c>
      <c r="G113" s="89">
        <v>60.737000000000002</v>
      </c>
      <c r="H113" s="89">
        <v>49.585999999999999</v>
      </c>
      <c r="I113" s="89">
        <v>64.677999999999997</v>
      </c>
      <c r="J113" s="89">
        <v>47.962000000000003</v>
      </c>
      <c r="K113" s="89">
        <v>37.81</v>
      </c>
      <c r="L113" s="89">
        <v>23.972999999999999</v>
      </c>
      <c r="M113" s="89">
        <v>17.28</v>
      </c>
      <c r="N113" s="49"/>
      <c r="O113" s="89">
        <f t="shared" si="25"/>
        <v>1.075</v>
      </c>
      <c r="P113" s="89">
        <f t="shared" si="26"/>
        <v>120.536</v>
      </c>
      <c r="Q113" s="89">
        <f t="shared" si="27"/>
        <v>162.226</v>
      </c>
      <c r="R113" s="89">
        <f t="shared" si="28"/>
        <v>79.063000000000002</v>
      </c>
      <c r="S113" s="89">
        <f t="shared" si="29"/>
        <v>362.9</v>
      </c>
      <c r="T113" s="49"/>
      <c r="U113" s="89">
        <f t="shared" si="30"/>
        <v>340.27299999999997</v>
      </c>
    </row>
    <row r="114" spans="1:21" x14ac:dyDescent="0.2">
      <c r="A114" s="35">
        <v>1998</v>
      </c>
      <c r="B114" s="89">
        <v>0.58499999999999996</v>
      </c>
      <c r="C114" s="89">
        <v>9.859</v>
      </c>
      <c r="D114" s="89">
        <v>10.468</v>
      </c>
      <c r="E114" s="89">
        <v>20.992999999999999</v>
      </c>
      <c r="F114" s="89">
        <v>30.366</v>
      </c>
      <c r="G114" s="89">
        <v>40.021999999999998</v>
      </c>
      <c r="H114" s="89">
        <v>52.024999999999999</v>
      </c>
      <c r="I114" s="89">
        <v>59.472000000000001</v>
      </c>
      <c r="J114" s="89">
        <v>47.07</v>
      </c>
      <c r="K114" s="89">
        <v>46.103999999999999</v>
      </c>
      <c r="L114" s="89">
        <v>31.809000000000001</v>
      </c>
      <c r="M114" s="89">
        <v>5.12</v>
      </c>
      <c r="N114" s="49"/>
      <c r="O114" s="89">
        <f t="shared" si="25"/>
        <v>20.911999999999999</v>
      </c>
      <c r="P114" s="89">
        <f t="shared" si="26"/>
        <v>91.381</v>
      </c>
      <c r="Q114" s="89">
        <f t="shared" si="27"/>
        <v>158.56700000000001</v>
      </c>
      <c r="R114" s="89">
        <f t="shared" si="28"/>
        <v>83.033000000000001</v>
      </c>
      <c r="S114" s="89">
        <f t="shared" si="29"/>
        <v>353.89300000000003</v>
      </c>
      <c r="T114" s="49"/>
      <c r="U114" s="89">
        <f t="shared" si="30"/>
        <v>349.923</v>
      </c>
    </row>
    <row r="115" spans="1:21" x14ac:dyDescent="0.2">
      <c r="A115" s="35">
        <v>1999</v>
      </c>
      <c r="B115" s="89">
        <v>0</v>
      </c>
      <c r="C115" s="89">
        <v>1.552</v>
      </c>
      <c r="D115" s="89">
        <v>11.147</v>
      </c>
      <c r="E115" s="89">
        <v>42.944000000000003</v>
      </c>
      <c r="F115" s="89">
        <v>61.814999999999998</v>
      </c>
      <c r="G115" s="89">
        <v>48.738</v>
      </c>
      <c r="H115" s="89">
        <v>43.139000000000003</v>
      </c>
      <c r="I115" s="89">
        <v>47.323999999999998</v>
      </c>
      <c r="J115" s="89">
        <v>44.052</v>
      </c>
      <c r="K115" s="89">
        <v>35.344000000000001</v>
      </c>
      <c r="L115" s="89">
        <v>23.306999999999999</v>
      </c>
      <c r="M115" s="89">
        <v>8.17</v>
      </c>
      <c r="N115" s="49"/>
      <c r="O115" s="89">
        <f t="shared" si="25"/>
        <v>12.699</v>
      </c>
      <c r="P115" s="89">
        <f t="shared" si="26"/>
        <v>153.49700000000001</v>
      </c>
      <c r="Q115" s="89">
        <f t="shared" si="27"/>
        <v>134.51499999999999</v>
      </c>
      <c r="R115" s="89">
        <f t="shared" si="28"/>
        <v>66.820999999999998</v>
      </c>
      <c r="S115" s="89">
        <f t="shared" si="29"/>
        <v>367.53200000000004</v>
      </c>
      <c r="T115" s="49"/>
      <c r="U115" s="89">
        <f t="shared" si="30"/>
        <v>383.74400000000003</v>
      </c>
    </row>
    <row r="116" spans="1:21" x14ac:dyDescent="0.2">
      <c r="A116" s="33">
        <v>2000</v>
      </c>
      <c r="B116" s="89">
        <v>0</v>
      </c>
      <c r="C116" s="89">
        <v>7.8460000000000001</v>
      </c>
      <c r="D116" s="89">
        <v>12.44</v>
      </c>
      <c r="E116" s="89">
        <v>37.018999999999998</v>
      </c>
      <c r="F116" s="89">
        <v>41.186999999999998</v>
      </c>
      <c r="G116" s="89">
        <v>42.073</v>
      </c>
      <c r="H116" s="89">
        <v>43.9</v>
      </c>
      <c r="I116" s="89">
        <v>32.200000000000003</v>
      </c>
      <c r="J116" s="89">
        <v>34.130000000000003</v>
      </c>
      <c r="K116" s="89">
        <v>30.263000000000002</v>
      </c>
      <c r="L116" s="89">
        <v>13.872999999999999</v>
      </c>
      <c r="M116" s="89">
        <v>6.234</v>
      </c>
      <c r="N116" s="49"/>
      <c r="O116" s="89">
        <f t="shared" si="25"/>
        <v>20.286000000000001</v>
      </c>
      <c r="P116" s="89">
        <f t="shared" si="26"/>
        <v>120.279</v>
      </c>
      <c r="Q116" s="89">
        <f t="shared" si="27"/>
        <v>110.22999999999999</v>
      </c>
      <c r="R116" s="89">
        <f t="shared" si="28"/>
        <v>50.370000000000005</v>
      </c>
      <c r="S116" s="89">
        <f t="shared" si="29"/>
        <v>301.16499999999996</v>
      </c>
      <c r="T116" s="49"/>
      <c r="U116" s="89">
        <f t="shared" si="30"/>
        <v>317.61599999999999</v>
      </c>
    </row>
    <row r="117" spans="1:21" x14ac:dyDescent="0.2">
      <c r="A117" s="132">
        <v>2001</v>
      </c>
      <c r="B117" s="89">
        <v>0</v>
      </c>
      <c r="C117" s="89">
        <v>1.103</v>
      </c>
      <c r="D117" s="89">
        <v>17.058</v>
      </c>
      <c r="E117" s="89">
        <v>24.177</v>
      </c>
      <c r="F117" s="89">
        <v>28.32</v>
      </c>
      <c r="G117" s="89">
        <v>30.934999999999999</v>
      </c>
      <c r="H117" s="89">
        <v>31.172000000000001</v>
      </c>
      <c r="I117" s="89">
        <v>30.257999999999999</v>
      </c>
      <c r="J117" s="89">
        <v>27.995999999999999</v>
      </c>
      <c r="K117" s="89">
        <v>25.48</v>
      </c>
      <c r="L117" s="89">
        <v>16.803000000000001</v>
      </c>
      <c r="M117" s="89">
        <v>12.901999999999999</v>
      </c>
      <c r="N117" s="49"/>
      <c r="O117" s="89">
        <f t="shared" si="25"/>
        <v>18.161000000000001</v>
      </c>
      <c r="P117" s="89">
        <f t="shared" si="26"/>
        <v>83.432000000000002</v>
      </c>
      <c r="Q117" s="89">
        <f t="shared" si="27"/>
        <v>89.426000000000002</v>
      </c>
      <c r="R117" s="89">
        <f t="shared" si="28"/>
        <v>55.185000000000002</v>
      </c>
      <c r="S117" s="89">
        <f t="shared" si="29"/>
        <v>246.20400000000001</v>
      </c>
      <c r="T117" s="49"/>
      <c r="U117" s="89">
        <f t="shared" si="30"/>
        <v>241.38900000000001</v>
      </c>
    </row>
    <row r="118" spans="1:21" x14ac:dyDescent="0.2">
      <c r="A118" s="110">
        <v>2002</v>
      </c>
      <c r="B118" s="89">
        <v>0</v>
      </c>
      <c r="C118" s="89">
        <v>6.4960000000000004</v>
      </c>
      <c r="D118" s="89">
        <v>19.23</v>
      </c>
      <c r="E118" s="89">
        <v>20.699000000000002</v>
      </c>
      <c r="F118" s="89">
        <v>17.457000000000001</v>
      </c>
      <c r="G118" s="89">
        <v>33.701999999999998</v>
      </c>
      <c r="H118" s="89">
        <v>35.622999999999998</v>
      </c>
      <c r="I118" s="89">
        <v>29.756</v>
      </c>
      <c r="J118" s="89">
        <v>32.423000000000002</v>
      </c>
      <c r="K118" s="89">
        <v>25.309000000000001</v>
      </c>
      <c r="L118" s="89">
        <v>24.088000000000001</v>
      </c>
      <c r="M118" s="89">
        <v>24.861000000000001</v>
      </c>
      <c r="N118" s="49"/>
      <c r="O118" s="89">
        <f t="shared" si="25"/>
        <v>25.725999999999999</v>
      </c>
      <c r="P118" s="89">
        <f t="shared" si="26"/>
        <v>71.858000000000004</v>
      </c>
      <c r="Q118" s="89">
        <f t="shared" si="27"/>
        <v>97.801999999999992</v>
      </c>
      <c r="R118" s="89">
        <f t="shared" si="28"/>
        <v>74.25800000000001</v>
      </c>
      <c r="S118" s="89">
        <f t="shared" si="29"/>
        <v>269.64400000000001</v>
      </c>
      <c r="T118" s="49"/>
      <c r="U118" s="89">
        <f t="shared" si="30"/>
        <v>250.571</v>
      </c>
    </row>
    <row r="119" spans="1:21" x14ac:dyDescent="0.2">
      <c r="A119" s="110">
        <v>2003</v>
      </c>
      <c r="B119" s="89">
        <v>0</v>
      </c>
      <c r="C119" s="89">
        <v>0</v>
      </c>
      <c r="D119" s="89">
        <v>20.14</v>
      </c>
      <c r="E119" s="89">
        <v>20.704000000000001</v>
      </c>
      <c r="F119" s="89">
        <v>35.64</v>
      </c>
      <c r="G119" s="89">
        <v>32.168999999999997</v>
      </c>
      <c r="H119" s="89">
        <v>32.524999999999999</v>
      </c>
      <c r="I119" s="89">
        <v>34.369</v>
      </c>
      <c r="J119" s="89">
        <v>26.501000000000001</v>
      </c>
      <c r="K119" s="89">
        <v>23.420999999999999</v>
      </c>
      <c r="L119" s="89">
        <v>24.686</v>
      </c>
      <c r="M119" s="89">
        <v>10.853</v>
      </c>
      <c r="N119" s="49"/>
      <c r="O119" s="89">
        <f t="shared" si="25"/>
        <v>20.14</v>
      </c>
      <c r="P119" s="89">
        <f t="shared" si="26"/>
        <v>88.513000000000005</v>
      </c>
      <c r="Q119" s="89">
        <f t="shared" si="27"/>
        <v>93.39500000000001</v>
      </c>
      <c r="R119" s="89">
        <f t="shared" si="28"/>
        <v>58.96</v>
      </c>
      <c r="S119" s="89">
        <f t="shared" si="29"/>
        <v>261.00799999999998</v>
      </c>
      <c r="T119" s="49"/>
      <c r="U119" s="89">
        <f t="shared" si="30"/>
        <v>276.30600000000004</v>
      </c>
    </row>
    <row r="120" spans="1:21" x14ac:dyDescent="0.2">
      <c r="A120" s="110">
        <v>2004</v>
      </c>
      <c r="B120" s="89">
        <v>0</v>
      </c>
      <c r="C120" s="89">
        <v>3.9289999999999998</v>
      </c>
      <c r="D120" s="89">
        <v>13.135999999999999</v>
      </c>
      <c r="E120" s="89">
        <v>18.998000000000001</v>
      </c>
      <c r="F120" s="89">
        <v>26.582000000000001</v>
      </c>
      <c r="G120" s="89">
        <v>29.574000000000002</v>
      </c>
      <c r="H120" s="89">
        <v>33.420999999999999</v>
      </c>
      <c r="I120" s="89">
        <v>36.982999999999997</v>
      </c>
      <c r="J120" s="89">
        <v>29.331</v>
      </c>
      <c r="K120" s="89">
        <v>34.648000000000003</v>
      </c>
      <c r="L120" s="89">
        <v>17.716000000000001</v>
      </c>
      <c r="M120" s="89">
        <v>13.59</v>
      </c>
      <c r="N120" s="49"/>
      <c r="O120" s="89">
        <f t="shared" si="25"/>
        <v>17.064999999999998</v>
      </c>
      <c r="P120" s="89">
        <f t="shared" si="26"/>
        <v>75.153999999999996</v>
      </c>
      <c r="Q120" s="89">
        <f t="shared" si="27"/>
        <v>99.734999999999999</v>
      </c>
      <c r="R120" s="89">
        <f t="shared" si="28"/>
        <v>65.954000000000008</v>
      </c>
      <c r="S120" s="89">
        <f t="shared" si="29"/>
        <v>257.90800000000002</v>
      </c>
      <c r="T120" s="49"/>
      <c r="U120" s="89">
        <f t="shared" si="30"/>
        <v>250.91400000000002</v>
      </c>
    </row>
    <row r="121" spans="1:21" x14ac:dyDescent="0.2">
      <c r="A121" s="110">
        <v>2005</v>
      </c>
      <c r="B121" s="89">
        <v>0</v>
      </c>
      <c r="C121" s="89">
        <v>5.9530000000000003</v>
      </c>
      <c r="D121" s="89">
        <v>19.131</v>
      </c>
      <c r="E121" s="89">
        <v>25.914000000000001</v>
      </c>
      <c r="F121" s="89">
        <v>34.899000000000001</v>
      </c>
      <c r="G121" s="89">
        <v>23.91</v>
      </c>
      <c r="H121" s="89">
        <v>34.137999999999998</v>
      </c>
      <c r="I121" s="89">
        <v>25.395</v>
      </c>
      <c r="J121" s="89">
        <v>22.591000000000001</v>
      </c>
      <c r="K121" s="89">
        <v>28.963999999999999</v>
      </c>
      <c r="L121" s="89">
        <v>17.539000000000001</v>
      </c>
      <c r="M121" s="89">
        <v>13.907999999999999</v>
      </c>
      <c r="N121" s="49"/>
      <c r="O121" s="89">
        <f t="shared" si="25"/>
        <v>25.084</v>
      </c>
      <c r="P121" s="89">
        <f t="shared" si="26"/>
        <v>84.722999999999999</v>
      </c>
      <c r="Q121" s="89">
        <f t="shared" si="27"/>
        <v>82.123999999999995</v>
      </c>
      <c r="R121" s="89">
        <f t="shared" si="28"/>
        <v>60.411000000000001</v>
      </c>
      <c r="S121" s="89">
        <f t="shared" si="29"/>
        <v>252.34200000000001</v>
      </c>
      <c r="T121" s="49"/>
      <c r="U121" s="89">
        <f t="shared" si="30"/>
        <v>257.88499999999999</v>
      </c>
    </row>
    <row r="122" spans="1:21" x14ac:dyDescent="0.2">
      <c r="A122" s="110">
        <v>2006</v>
      </c>
      <c r="B122" s="89">
        <v>0</v>
      </c>
      <c r="C122" s="89">
        <v>0</v>
      </c>
      <c r="D122" s="89">
        <v>0.81</v>
      </c>
      <c r="E122" s="89">
        <v>17.353999999999999</v>
      </c>
      <c r="F122" s="89">
        <v>26.396999999999998</v>
      </c>
      <c r="G122" s="89">
        <v>34.417999999999999</v>
      </c>
      <c r="H122" s="89">
        <v>32.216999999999999</v>
      </c>
      <c r="I122" s="89">
        <v>23.248999999999999</v>
      </c>
      <c r="J122" s="89">
        <v>27.788</v>
      </c>
      <c r="K122" s="89">
        <v>17.742000000000001</v>
      </c>
      <c r="L122" s="89">
        <v>12.041</v>
      </c>
      <c r="M122" s="89">
        <v>21.167999999999999</v>
      </c>
      <c r="N122" s="49"/>
      <c r="O122" s="89">
        <f t="shared" si="25"/>
        <v>0.81</v>
      </c>
      <c r="P122" s="89">
        <f t="shared" si="26"/>
        <v>78.168999999999997</v>
      </c>
      <c r="Q122" s="89">
        <f t="shared" si="27"/>
        <v>83.253999999999991</v>
      </c>
      <c r="R122" s="89">
        <f t="shared" si="28"/>
        <v>50.951000000000001</v>
      </c>
      <c r="S122" s="89">
        <f t="shared" si="29"/>
        <v>213.184</v>
      </c>
      <c r="T122" s="49"/>
      <c r="U122" s="89">
        <f t="shared" si="30"/>
        <v>222.64400000000001</v>
      </c>
    </row>
    <row r="123" spans="1:21" x14ac:dyDescent="0.2">
      <c r="A123" s="110">
        <v>2007</v>
      </c>
      <c r="B123" s="89">
        <v>0</v>
      </c>
      <c r="C123" s="89">
        <v>0</v>
      </c>
      <c r="D123" s="89">
        <v>9.1859999999999999</v>
      </c>
      <c r="E123" s="89">
        <v>34.618000000000002</v>
      </c>
      <c r="F123" s="89">
        <v>25.074000000000002</v>
      </c>
      <c r="G123" s="89">
        <v>26.048999999999999</v>
      </c>
      <c r="H123" s="89">
        <v>31.088000000000001</v>
      </c>
      <c r="I123" s="89">
        <v>23.780999999999999</v>
      </c>
      <c r="J123" s="89">
        <v>20.827999999999999</v>
      </c>
      <c r="K123" s="89">
        <v>17.870999999999999</v>
      </c>
      <c r="L123" s="89">
        <v>14.125999999999999</v>
      </c>
      <c r="M123" s="89">
        <v>3.415</v>
      </c>
      <c r="N123" s="49"/>
      <c r="O123" s="89">
        <f t="shared" si="25"/>
        <v>9.1859999999999999</v>
      </c>
      <c r="P123" s="89">
        <f t="shared" si="26"/>
        <v>85.741000000000014</v>
      </c>
      <c r="Q123" s="89">
        <f t="shared" si="27"/>
        <v>75.697000000000003</v>
      </c>
      <c r="R123" s="89">
        <f t="shared" si="28"/>
        <v>35.411999999999999</v>
      </c>
      <c r="S123" s="89">
        <f t="shared" si="29"/>
        <v>206.036</v>
      </c>
      <c r="T123" s="49"/>
      <c r="U123" s="89">
        <f t="shared" si="30"/>
        <v>221.57500000000002</v>
      </c>
    </row>
    <row r="124" spans="1:21" x14ac:dyDescent="0.2">
      <c r="A124" s="110">
        <v>2008</v>
      </c>
      <c r="B124" s="89">
        <v>0</v>
      </c>
      <c r="C124" s="89">
        <v>0</v>
      </c>
      <c r="D124" s="89">
        <v>14.244</v>
      </c>
      <c r="E124" s="89">
        <v>16.523</v>
      </c>
      <c r="F124" s="89">
        <v>21.266999999999999</v>
      </c>
      <c r="G124" s="89">
        <v>30.902999999999999</v>
      </c>
      <c r="H124" s="89">
        <v>19.213999999999999</v>
      </c>
      <c r="I124" s="89">
        <v>25.96</v>
      </c>
      <c r="J124" s="89">
        <v>18.818000000000001</v>
      </c>
      <c r="K124" s="89">
        <v>21.265000000000001</v>
      </c>
      <c r="L124" s="89">
        <v>16.161999999999999</v>
      </c>
      <c r="M124" s="89">
        <v>0.81599999999999995</v>
      </c>
      <c r="N124" s="49"/>
      <c r="O124" s="89">
        <f t="shared" si="25"/>
        <v>14.244</v>
      </c>
      <c r="P124" s="89">
        <f t="shared" si="26"/>
        <v>68.692999999999998</v>
      </c>
      <c r="Q124" s="89">
        <f t="shared" si="27"/>
        <v>63.992000000000004</v>
      </c>
      <c r="R124" s="89">
        <f t="shared" si="28"/>
        <v>38.243000000000002</v>
      </c>
      <c r="S124" s="89">
        <f t="shared" si="29"/>
        <v>185.17200000000003</v>
      </c>
      <c r="T124" s="49"/>
      <c r="U124" s="89">
        <f t="shared" si="30"/>
        <v>182.34100000000001</v>
      </c>
    </row>
    <row r="125" spans="1:21" x14ac:dyDescent="0.2">
      <c r="A125" s="110">
        <v>2009</v>
      </c>
      <c r="B125" s="89">
        <v>0</v>
      </c>
      <c r="C125" s="89">
        <v>4.3739999999999997</v>
      </c>
      <c r="D125" s="89">
        <v>19.260000000000002</v>
      </c>
      <c r="E125" s="89">
        <v>16.73</v>
      </c>
      <c r="F125" s="89">
        <v>20.498000000000001</v>
      </c>
      <c r="G125" s="89">
        <v>25.184000000000001</v>
      </c>
      <c r="H125" s="89">
        <v>20.757000000000001</v>
      </c>
      <c r="I125" s="89">
        <v>23.725000000000001</v>
      </c>
      <c r="J125" s="89">
        <v>22.806000000000001</v>
      </c>
      <c r="K125" s="89">
        <v>18.457999999999998</v>
      </c>
      <c r="L125" s="89">
        <v>4.4169999999999998</v>
      </c>
      <c r="M125" s="89">
        <v>0</v>
      </c>
      <c r="N125" s="49"/>
      <c r="O125" s="89">
        <f t="shared" si="25"/>
        <v>23.634</v>
      </c>
      <c r="P125" s="89">
        <f t="shared" si="26"/>
        <v>62.412000000000006</v>
      </c>
      <c r="Q125" s="89">
        <f t="shared" si="27"/>
        <v>67.287999999999997</v>
      </c>
      <c r="R125" s="89">
        <f t="shared" si="28"/>
        <v>22.875</v>
      </c>
      <c r="S125" s="89">
        <f t="shared" si="29"/>
        <v>176.20900000000003</v>
      </c>
      <c r="T125" s="49"/>
      <c r="U125" s="89">
        <f t="shared" si="30"/>
        <v>191.577</v>
      </c>
    </row>
    <row r="126" spans="1:21" x14ac:dyDescent="0.2">
      <c r="A126" s="110">
        <v>2010</v>
      </c>
      <c r="B126" s="89">
        <v>0</v>
      </c>
      <c r="C126" s="89">
        <v>0</v>
      </c>
      <c r="D126" s="89">
        <v>0</v>
      </c>
      <c r="E126" s="89">
        <v>18.384</v>
      </c>
      <c r="F126" s="89">
        <v>30.283999999999999</v>
      </c>
      <c r="G126" s="89">
        <v>23.817</v>
      </c>
      <c r="H126" s="89">
        <v>20.198</v>
      </c>
      <c r="I126" s="89">
        <v>29.861999999999998</v>
      </c>
      <c r="J126" s="89">
        <v>15.817</v>
      </c>
      <c r="K126" s="89">
        <v>25.584</v>
      </c>
      <c r="L126" s="89">
        <v>7.8259999999999996</v>
      </c>
      <c r="M126" s="89">
        <v>0</v>
      </c>
      <c r="N126" s="49"/>
      <c r="O126" s="89">
        <f t="shared" si="25"/>
        <v>0</v>
      </c>
      <c r="P126" s="89">
        <f t="shared" si="26"/>
        <v>72.484999999999999</v>
      </c>
      <c r="Q126" s="89">
        <f t="shared" si="27"/>
        <v>65.87700000000001</v>
      </c>
      <c r="R126" s="89">
        <f t="shared" si="28"/>
        <v>33.409999999999997</v>
      </c>
      <c r="S126" s="89">
        <f t="shared" si="29"/>
        <v>171.77199999999999</v>
      </c>
      <c r="T126" s="49"/>
      <c r="U126" s="89">
        <f t="shared" si="30"/>
        <v>161.23700000000002</v>
      </c>
    </row>
    <row r="127" spans="1:21" x14ac:dyDescent="0.2">
      <c r="A127" s="110">
        <v>2011</v>
      </c>
      <c r="B127" s="89">
        <v>0</v>
      </c>
      <c r="C127" s="89">
        <v>0</v>
      </c>
      <c r="D127" s="89">
        <v>6.7329999999999997</v>
      </c>
      <c r="E127" s="89">
        <v>20.545000000000002</v>
      </c>
      <c r="F127" s="89">
        <v>23.943000000000001</v>
      </c>
      <c r="G127" s="89">
        <v>23.183</v>
      </c>
      <c r="H127" s="89">
        <v>27.042999999999999</v>
      </c>
      <c r="I127" s="89">
        <v>23.408000000000001</v>
      </c>
      <c r="J127" s="89">
        <v>23.867000000000001</v>
      </c>
      <c r="K127" s="89">
        <v>28.207000000000001</v>
      </c>
      <c r="L127" s="89">
        <v>5.8659999999999997</v>
      </c>
      <c r="M127" s="89">
        <v>0</v>
      </c>
      <c r="N127" s="49"/>
      <c r="O127" s="89">
        <f t="shared" si="25"/>
        <v>6.7329999999999997</v>
      </c>
      <c r="P127" s="89">
        <f t="shared" si="26"/>
        <v>67.670999999999992</v>
      </c>
      <c r="Q127" s="89">
        <f t="shared" si="27"/>
        <v>74.317999999999998</v>
      </c>
      <c r="R127" s="89">
        <f t="shared" si="28"/>
        <v>34.073</v>
      </c>
      <c r="S127" s="89">
        <f t="shared" si="29"/>
        <v>182.79500000000002</v>
      </c>
      <c r="T127" s="49"/>
      <c r="U127" s="89">
        <f t="shared" si="30"/>
        <v>182.13199999999998</v>
      </c>
    </row>
    <row r="128" spans="1:21" x14ac:dyDescent="0.2">
      <c r="A128" s="132">
        <v>2012</v>
      </c>
      <c r="B128" s="89">
        <v>0</v>
      </c>
      <c r="C128" s="89">
        <v>0</v>
      </c>
      <c r="D128" s="89">
        <v>1.877</v>
      </c>
      <c r="E128" s="89">
        <v>20.984999999999999</v>
      </c>
      <c r="F128" s="89">
        <v>19.527000000000001</v>
      </c>
      <c r="G128" s="89">
        <v>16.940999999999999</v>
      </c>
      <c r="H128" s="89">
        <v>30.806000000000001</v>
      </c>
      <c r="I128" s="89">
        <v>23.972000000000001</v>
      </c>
      <c r="J128" s="89">
        <v>23.425000000000001</v>
      </c>
      <c r="K128" s="89">
        <v>16.498000000000001</v>
      </c>
      <c r="L128" s="89">
        <v>18.545999999999999</v>
      </c>
      <c r="M128" s="89">
        <v>5.8330000000000002</v>
      </c>
      <c r="N128" s="49"/>
      <c r="O128" s="89">
        <f t="shared" si="25"/>
        <v>1.877</v>
      </c>
      <c r="P128" s="89">
        <f t="shared" si="26"/>
        <v>57.453000000000003</v>
      </c>
      <c r="Q128" s="89">
        <f t="shared" si="27"/>
        <v>78.203000000000003</v>
      </c>
      <c r="R128" s="89">
        <f t="shared" si="28"/>
        <v>40.876999999999995</v>
      </c>
      <c r="S128" s="89">
        <f t="shared" si="29"/>
        <v>178.41</v>
      </c>
      <c r="T128" s="49"/>
      <c r="U128" s="89">
        <f t="shared" si="30"/>
        <v>171.60600000000002</v>
      </c>
    </row>
    <row r="129" spans="1:21" x14ac:dyDescent="0.2">
      <c r="A129" s="132">
        <v>2013</v>
      </c>
      <c r="B129" s="89">
        <v>0</v>
      </c>
      <c r="C129" s="89">
        <v>0</v>
      </c>
      <c r="D129" s="89">
        <v>8.1950000000000003</v>
      </c>
      <c r="E129" s="89">
        <v>17.283000000000001</v>
      </c>
      <c r="F129" s="89">
        <v>19.524999999999999</v>
      </c>
      <c r="G129" s="89">
        <v>29.614999999999998</v>
      </c>
      <c r="H129" s="89">
        <v>21.149000000000001</v>
      </c>
      <c r="I129" s="89">
        <v>19.765999999999998</v>
      </c>
      <c r="J129" s="89">
        <v>23.062999999999999</v>
      </c>
      <c r="K129" s="89">
        <v>19.198</v>
      </c>
      <c r="L129" s="89">
        <v>13.904999999999999</v>
      </c>
      <c r="M129" s="89">
        <v>19.765000000000001</v>
      </c>
      <c r="N129" s="49"/>
      <c r="O129" s="89">
        <f t="shared" si="25"/>
        <v>8.1950000000000003</v>
      </c>
      <c r="P129" s="89">
        <f t="shared" si="26"/>
        <v>66.423000000000002</v>
      </c>
      <c r="Q129" s="89">
        <f t="shared" si="27"/>
        <v>63.977999999999994</v>
      </c>
      <c r="R129" s="89">
        <f t="shared" si="28"/>
        <v>52.868000000000002</v>
      </c>
      <c r="S129" s="89">
        <f t="shared" si="29"/>
        <v>191.464</v>
      </c>
      <c r="T129" s="49"/>
      <c r="U129" s="89">
        <f t="shared" si="30"/>
        <v>179.47300000000001</v>
      </c>
    </row>
    <row r="130" spans="1:21" x14ac:dyDescent="0.2">
      <c r="A130" s="132">
        <v>2014</v>
      </c>
      <c r="B130" s="89">
        <v>0</v>
      </c>
      <c r="C130" s="89">
        <v>0</v>
      </c>
      <c r="D130" s="89">
        <v>1.3779999999999999</v>
      </c>
      <c r="E130" s="89">
        <v>8.9770000000000003</v>
      </c>
      <c r="F130" s="89">
        <v>11.157999999999999</v>
      </c>
      <c r="G130" s="89">
        <v>26.757000000000001</v>
      </c>
      <c r="H130" s="89">
        <v>18.904</v>
      </c>
      <c r="I130" s="89">
        <v>27.712</v>
      </c>
      <c r="J130" s="89">
        <v>20.36</v>
      </c>
      <c r="K130" s="89">
        <v>16.010000000000002</v>
      </c>
      <c r="L130" s="89">
        <v>17.459</v>
      </c>
      <c r="M130" s="89">
        <v>13.365</v>
      </c>
      <c r="N130" s="49"/>
      <c r="O130" s="89">
        <f t="shared" si="25"/>
        <v>1.3779999999999999</v>
      </c>
      <c r="P130" s="89">
        <f t="shared" si="26"/>
        <v>46.891999999999996</v>
      </c>
      <c r="Q130" s="89">
        <f t="shared" si="27"/>
        <v>66.975999999999999</v>
      </c>
      <c r="R130" s="89">
        <f t="shared" si="28"/>
        <v>46.834000000000003</v>
      </c>
      <c r="S130" s="89">
        <f t="shared" si="29"/>
        <v>162.08000000000001</v>
      </c>
      <c r="T130" s="49"/>
      <c r="U130" s="89">
        <f t="shared" si="30"/>
        <v>168.114</v>
      </c>
    </row>
    <row r="131" spans="1:21" x14ac:dyDescent="0.2">
      <c r="A131" s="132">
        <v>2015</v>
      </c>
      <c r="B131" s="89">
        <v>0</v>
      </c>
      <c r="C131" s="89">
        <v>0</v>
      </c>
      <c r="D131" s="89">
        <v>3.2440000000000002</v>
      </c>
      <c r="E131" s="89">
        <v>15.292</v>
      </c>
      <c r="F131" s="89">
        <v>15.472</v>
      </c>
      <c r="G131" s="89">
        <v>22.196000000000002</v>
      </c>
      <c r="H131" s="89">
        <v>14.87</v>
      </c>
      <c r="I131" s="89">
        <v>17.206</v>
      </c>
      <c r="J131" s="89">
        <v>10.465999999999999</v>
      </c>
      <c r="K131" s="89">
        <v>12.186</v>
      </c>
      <c r="L131" s="89">
        <v>15.151999999999999</v>
      </c>
      <c r="M131" s="89">
        <v>10.307</v>
      </c>
      <c r="N131" s="49"/>
      <c r="O131" s="89">
        <f t="shared" si="25"/>
        <v>3.2440000000000002</v>
      </c>
      <c r="P131" s="89">
        <f t="shared" si="26"/>
        <v>52.96</v>
      </c>
      <c r="Q131" s="89">
        <f t="shared" si="27"/>
        <v>42.542000000000002</v>
      </c>
      <c r="R131" s="89">
        <f t="shared" si="28"/>
        <v>37.645000000000003</v>
      </c>
      <c r="S131" s="89">
        <f t="shared" si="29"/>
        <v>136.39100000000002</v>
      </c>
      <c r="T131" s="49"/>
      <c r="U131" s="89">
        <f t="shared" si="30"/>
        <v>145.58000000000001</v>
      </c>
    </row>
    <row r="132" spans="1:21" x14ac:dyDescent="0.2">
      <c r="A132" s="132">
        <v>2016</v>
      </c>
      <c r="B132" s="89">
        <v>0</v>
      </c>
      <c r="C132" s="89">
        <v>0</v>
      </c>
      <c r="D132" s="89">
        <v>11.766999999999999</v>
      </c>
      <c r="E132" s="89">
        <v>11.369</v>
      </c>
      <c r="F132" s="89">
        <v>21.417000000000002</v>
      </c>
      <c r="G132" s="89">
        <v>16.861999999999998</v>
      </c>
      <c r="H132" s="89">
        <v>19.844999999999999</v>
      </c>
      <c r="I132" s="89">
        <v>19.155000000000001</v>
      </c>
      <c r="J132" s="89">
        <v>14.256</v>
      </c>
      <c r="K132" s="89">
        <v>23.120999999999999</v>
      </c>
      <c r="L132" s="89">
        <v>14.731</v>
      </c>
      <c r="M132" s="89">
        <v>5.3460000000000001</v>
      </c>
      <c r="N132" s="49"/>
      <c r="O132" s="89">
        <f t="shared" si="25"/>
        <v>11.766999999999999</v>
      </c>
      <c r="P132" s="89">
        <f t="shared" si="26"/>
        <v>49.647999999999996</v>
      </c>
      <c r="Q132" s="89">
        <f t="shared" si="27"/>
        <v>53.256</v>
      </c>
      <c r="R132" s="89">
        <f t="shared" si="28"/>
        <v>43.197999999999993</v>
      </c>
      <c r="S132" s="89">
        <f t="shared" si="29"/>
        <v>157.869</v>
      </c>
      <c r="T132" s="49"/>
      <c r="U132" s="89">
        <f t="shared" si="30"/>
        <v>152.316</v>
      </c>
    </row>
    <row r="133" spans="1:21" x14ac:dyDescent="0.2">
      <c r="A133" s="132">
        <v>2017</v>
      </c>
      <c r="B133" s="89">
        <v>0</v>
      </c>
      <c r="C133" s="89">
        <v>0</v>
      </c>
      <c r="D133" s="89">
        <v>0</v>
      </c>
      <c r="E133" s="89">
        <v>0</v>
      </c>
      <c r="F133" s="89">
        <v>0</v>
      </c>
      <c r="G133" s="89">
        <v>0</v>
      </c>
      <c r="H133" s="89">
        <v>0</v>
      </c>
      <c r="I133" s="89">
        <v>0</v>
      </c>
      <c r="J133" s="89">
        <v>0</v>
      </c>
      <c r="K133" s="89">
        <v>0</v>
      </c>
      <c r="L133" s="89">
        <v>0</v>
      </c>
      <c r="M133" s="89">
        <v>0</v>
      </c>
      <c r="N133" s="49"/>
      <c r="O133" s="89">
        <f t="shared" si="25"/>
        <v>0</v>
      </c>
      <c r="P133" s="89">
        <f t="shared" si="26"/>
        <v>0</v>
      </c>
      <c r="Q133" s="89">
        <f t="shared" si="27"/>
        <v>0</v>
      </c>
      <c r="R133" s="89">
        <f t="shared" si="28"/>
        <v>0</v>
      </c>
      <c r="S133" s="89">
        <f t="shared" si="29"/>
        <v>0</v>
      </c>
      <c r="T133" s="49"/>
      <c r="U133" s="89">
        <f t="shared" si="30"/>
        <v>43.197999999999993</v>
      </c>
    </row>
    <row r="134" spans="1:21" x14ac:dyDescent="0.2">
      <c r="A134" s="207" t="s">
        <v>179</v>
      </c>
      <c r="B134" s="89"/>
      <c r="C134" s="89"/>
      <c r="D134" s="89"/>
      <c r="E134" s="89"/>
      <c r="F134" s="89"/>
      <c r="G134" s="89"/>
      <c r="H134" s="89"/>
      <c r="I134" s="89"/>
      <c r="J134" s="89"/>
      <c r="K134" s="89"/>
      <c r="L134" s="89"/>
      <c r="M134" s="89"/>
      <c r="N134" s="49"/>
      <c r="O134" s="89"/>
      <c r="P134" s="89"/>
      <c r="Q134" s="89"/>
      <c r="R134" s="89"/>
      <c r="S134" s="89"/>
      <c r="T134" s="49"/>
      <c r="U134" s="215"/>
    </row>
    <row r="135" spans="1:21" x14ac:dyDescent="0.2">
      <c r="A135" s="33">
        <v>1992</v>
      </c>
      <c r="B135" s="89">
        <v>0</v>
      </c>
      <c r="C135" s="89">
        <v>1</v>
      </c>
      <c r="D135" s="89">
        <v>39.700000000000003</v>
      </c>
      <c r="E135" s="89">
        <v>26.2</v>
      </c>
      <c r="F135" s="89">
        <v>1.1000000000000001</v>
      </c>
      <c r="G135" s="89">
        <v>0</v>
      </c>
      <c r="H135" s="89">
        <v>0</v>
      </c>
      <c r="I135" s="89">
        <v>0</v>
      </c>
      <c r="J135" s="89">
        <v>0</v>
      </c>
      <c r="K135" s="89">
        <v>0</v>
      </c>
      <c r="L135" s="89">
        <v>0</v>
      </c>
      <c r="M135" s="89">
        <v>0</v>
      </c>
      <c r="N135" s="49"/>
      <c r="O135" s="89">
        <f t="shared" ref="O135:O145" si="31">SUM(B135:D135)</f>
        <v>40.700000000000003</v>
      </c>
      <c r="P135" s="89">
        <f t="shared" ref="P135:P145" si="32">SUM(E135:G135)</f>
        <v>27.3</v>
      </c>
      <c r="Q135" s="89">
        <f t="shared" ref="Q135:Q149" si="33">SUM(H135:J135)</f>
        <v>0</v>
      </c>
      <c r="R135" s="89">
        <f t="shared" ref="R135:R144" si="34">SUM(K135:M135)</f>
        <v>0</v>
      </c>
      <c r="S135" s="89">
        <f t="shared" ref="S135:S144" si="35">SUM(O135:R135)</f>
        <v>68</v>
      </c>
      <c r="T135" s="49"/>
      <c r="U135" s="89">
        <v>68</v>
      </c>
    </row>
    <row r="136" spans="1:21" x14ac:dyDescent="0.2">
      <c r="A136" s="33">
        <v>1993</v>
      </c>
      <c r="B136" s="89">
        <v>0</v>
      </c>
      <c r="C136" s="89">
        <v>10.7</v>
      </c>
      <c r="D136" s="89">
        <v>27</v>
      </c>
      <c r="E136" s="89">
        <v>24.2</v>
      </c>
      <c r="F136" s="89">
        <v>3.1</v>
      </c>
      <c r="G136" s="89">
        <v>0</v>
      </c>
      <c r="H136" s="89">
        <v>0</v>
      </c>
      <c r="I136" s="89">
        <v>0</v>
      </c>
      <c r="J136" s="89">
        <v>0</v>
      </c>
      <c r="K136" s="89">
        <v>0</v>
      </c>
      <c r="L136" s="89">
        <v>0</v>
      </c>
      <c r="M136" s="89">
        <v>0</v>
      </c>
      <c r="N136" s="49"/>
      <c r="O136" s="89">
        <f t="shared" si="31"/>
        <v>37.700000000000003</v>
      </c>
      <c r="P136" s="89">
        <f t="shared" si="32"/>
        <v>27.3</v>
      </c>
      <c r="Q136" s="89">
        <f t="shared" si="33"/>
        <v>0</v>
      </c>
      <c r="R136" s="89">
        <f t="shared" si="34"/>
        <v>0</v>
      </c>
      <c r="S136" s="89">
        <f t="shared" si="35"/>
        <v>65</v>
      </c>
      <c r="T136" s="49"/>
      <c r="U136" s="89">
        <f t="shared" ref="U136:U141" si="36">SUM(O136:Q136)+R135</f>
        <v>65</v>
      </c>
    </row>
    <row r="137" spans="1:21" x14ac:dyDescent="0.2">
      <c r="A137" s="33">
        <v>1994</v>
      </c>
      <c r="B137" s="89">
        <v>0</v>
      </c>
      <c r="C137" s="89">
        <v>18.059999999999999</v>
      </c>
      <c r="D137" s="89">
        <v>22.09</v>
      </c>
      <c r="E137" s="89">
        <v>10.3</v>
      </c>
      <c r="F137" s="89">
        <v>0</v>
      </c>
      <c r="G137" s="89">
        <v>0</v>
      </c>
      <c r="H137" s="89">
        <v>0</v>
      </c>
      <c r="I137" s="89">
        <v>0</v>
      </c>
      <c r="J137" s="89">
        <v>0</v>
      </c>
      <c r="K137" s="89">
        <v>0</v>
      </c>
      <c r="L137" s="89">
        <v>0</v>
      </c>
      <c r="M137" s="89">
        <v>0</v>
      </c>
      <c r="N137" s="49"/>
      <c r="O137" s="89">
        <f t="shared" si="31"/>
        <v>40.15</v>
      </c>
      <c r="P137" s="89">
        <f t="shared" si="32"/>
        <v>10.3</v>
      </c>
      <c r="Q137" s="89">
        <f t="shared" si="33"/>
        <v>0</v>
      </c>
      <c r="R137" s="89">
        <f t="shared" si="34"/>
        <v>0</v>
      </c>
      <c r="S137" s="89">
        <f t="shared" si="35"/>
        <v>50.45</v>
      </c>
      <c r="T137" s="49"/>
      <c r="U137" s="89">
        <f t="shared" si="36"/>
        <v>50.45</v>
      </c>
    </row>
    <row r="138" spans="1:21" x14ac:dyDescent="0.2">
      <c r="A138" s="35">
        <v>1995</v>
      </c>
      <c r="B138" s="89">
        <v>0</v>
      </c>
      <c r="C138" s="89">
        <v>7.3689999999999998</v>
      </c>
      <c r="D138" s="89">
        <v>20.308</v>
      </c>
      <c r="E138" s="89">
        <v>13.911</v>
      </c>
      <c r="F138" s="89">
        <v>4.5209999999999999</v>
      </c>
      <c r="G138" s="89">
        <v>0</v>
      </c>
      <c r="H138" s="89">
        <v>0</v>
      </c>
      <c r="I138" s="89">
        <v>0</v>
      </c>
      <c r="J138" s="89">
        <v>0</v>
      </c>
      <c r="K138" s="89">
        <v>0</v>
      </c>
      <c r="L138" s="89">
        <v>0</v>
      </c>
      <c r="M138" s="89">
        <v>0</v>
      </c>
      <c r="N138" s="49"/>
      <c r="O138" s="89">
        <f t="shared" si="31"/>
        <v>27.677</v>
      </c>
      <c r="P138" s="89">
        <f t="shared" si="32"/>
        <v>18.431999999999999</v>
      </c>
      <c r="Q138" s="89">
        <f t="shared" si="33"/>
        <v>0</v>
      </c>
      <c r="R138" s="89">
        <f t="shared" si="34"/>
        <v>0</v>
      </c>
      <c r="S138" s="89">
        <f t="shared" si="35"/>
        <v>46.108999999999995</v>
      </c>
      <c r="T138" s="49"/>
      <c r="U138" s="89">
        <f t="shared" si="36"/>
        <v>46.108999999999995</v>
      </c>
    </row>
    <row r="139" spans="1:21" x14ac:dyDescent="0.2">
      <c r="A139" s="35">
        <v>1996</v>
      </c>
      <c r="B139" s="89">
        <v>0</v>
      </c>
      <c r="C139" s="89">
        <v>5.556</v>
      </c>
      <c r="D139" s="89">
        <v>16.757999999999999</v>
      </c>
      <c r="E139" s="89">
        <v>8.4870000000000001</v>
      </c>
      <c r="F139" s="89">
        <v>3.206</v>
      </c>
      <c r="G139" s="89">
        <v>0</v>
      </c>
      <c r="H139" s="89">
        <v>0</v>
      </c>
      <c r="I139" s="89">
        <v>0</v>
      </c>
      <c r="J139" s="89">
        <v>0</v>
      </c>
      <c r="K139" s="89">
        <v>0</v>
      </c>
      <c r="L139" s="89">
        <v>0</v>
      </c>
      <c r="M139" s="89">
        <v>0</v>
      </c>
      <c r="N139" s="49"/>
      <c r="O139" s="89">
        <f t="shared" si="31"/>
        <v>22.314</v>
      </c>
      <c r="P139" s="89">
        <f t="shared" si="32"/>
        <v>11.693</v>
      </c>
      <c r="Q139" s="89">
        <f t="shared" si="33"/>
        <v>0</v>
      </c>
      <c r="R139" s="89">
        <f t="shared" si="34"/>
        <v>0</v>
      </c>
      <c r="S139" s="89">
        <f t="shared" si="35"/>
        <v>34.006999999999998</v>
      </c>
      <c r="T139" s="49"/>
      <c r="U139" s="89">
        <f t="shared" si="36"/>
        <v>34.006999999999998</v>
      </c>
    </row>
    <row r="140" spans="1:21" x14ac:dyDescent="0.2">
      <c r="A140" s="35">
        <v>1997</v>
      </c>
      <c r="B140" s="89">
        <v>0</v>
      </c>
      <c r="C140" s="89">
        <v>2.9449999999999998</v>
      </c>
      <c r="D140" s="89">
        <v>10.101000000000001</v>
      </c>
      <c r="E140" s="89">
        <v>12.167999999999999</v>
      </c>
      <c r="F140" s="89">
        <v>2.032</v>
      </c>
      <c r="G140" s="89">
        <v>0</v>
      </c>
      <c r="H140" s="89">
        <v>0</v>
      </c>
      <c r="I140" s="89">
        <v>0</v>
      </c>
      <c r="J140" s="89">
        <v>0</v>
      </c>
      <c r="K140" s="89">
        <v>0</v>
      </c>
      <c r="L140" s="89">
        <v>0</v>
      </c>
      <c r="M140" s="89">
        <v>0</v>
      </c>
      <c r="N140" s="49"/>
      <c r="O140" s="89">
        <f t="shared" si="31"/>
        <v>13.046000000000001</v>
      </c>
      <c r="P140" s="89">
        <f t="shared" si="32"/>
        <v>14.2</v>
      </c>
      <c r="Q140" s="89">
        <f t="shared" si="33"/>
        <v>0</v>
      </c>
      <c r="R140" s="89">
        <f t="shared" si="34"/>
        <v>0</v>
      </c>
      <c r="S140" s="89">
        <f t="shared" si="35"/>
        <v>27.246000000000002</v>
      </c>
      <c r="T140" s="49"/>
      <c r="U140" s="89">
        <f t="shared" si="36"/>
        <v>27.246000000000002</v>
      </c>
    </row>
    <row r="141" spans="1:21" x14ac:dyDescent="0.2">
      <c r="A141" s="35">
        <v>1998</v>
      </c>
      <c r="B141" s="89">
        <v>0</v>
      </c>
      <c r="C141" s="89">
        <v>0</v>
      </c>
      <c r="D141" s="89">
        <v>2.7629999999999999</v>
      </c>
      <c r="E141" s="89">
        <v>7.9969999999999999</v>
      </c>
      <c r="F141" s="89">
        <v>4.0670000000000002</v>
      </c>
      <c r="G141" s="89">
        <v>0.93100000000000005</v>
      </c>
      <c r="H141" s="89">
        <v>0</v>
      </c>
      <c r="I141" s="89">
        <v>0</v>
      </c>
      <c r="J141" s="89">
        <v>0</v>
      </c>
      <c r="K141" s="89">
        <v>0</v>
      </c>
      <c r="L141" s="89">
        <v>0</v>
      </c>
      <c r="M141" s="89">
        <v>0</v>
      </c>
      <c r="N141" s="49"/>
      <c r="O141" s="89">
        <f t="shared" si="31"/>
        <v>2.7629999999999999</v>
      </c>
      <c r="P141" s="89">
        <f t="shared" si="32"/>
        <v>12.995000000000001</v>
      </c>
      <c r="Q141" s="89">
        <f t="shared" si="33"/>
        <v>0</v>
      </c>
      <c r="R141" s="89">
        <f t="shared" si="34"/>
        <v>0</v>
      </c>
      <c r="S141" s="89">
        <f t="shared" si="35"/>
        <v>15.758000000000001</v>
      </c>
      <c r="T141" s="49"/>
      <c r="U141" s="89">
        <f t="shared" si="36"/>
        <v>15.758000000000001</v>
      </c>
    </row>
    <row r="142" spans="1:21" x14ac:dyDescent="0.2">
      <c r="A142" s="35">
        <v>1999</v>
      </c>
      <c r="B142" s="89">
        <v>0</v>
      </c>
      <c r="C142" s="89">
        <v>0</v>
      </c>
      <c r="D142" s="89">
        <v>0</v>
      </c>
      <c r="E142" s="89">
        <v>1.4319999999999999</v>
      </c>
      <c r="F142" s="89">
        <v>1.9019999999999999</v>
      </c>
      <c r="G142" s="89">
        <v>0</v>
      </c>
      <c r="H142" s="89">
        <v>0</v>
      </c>
      <c r="I142" s="89">
        <v>0</v>
      </c>
      <c r="J142" s="89">
        <v>0</v>
      </c>
      <c r="K142" s="89">
        <v>0</v>
      </c>
      <c r="L142" s="89">
        <v>0</v>
      </c>
      <c r="M142" s="89">
        <v>0</v>
      </c>
      <c r="N142" s="49"/>
      <c r="O142" s="89">
        <f t="shared" si="31"/>
        <v>0</v>
      </c>
      <c r="P142" s="89">
        <f t="shared" si="32"/>
        <v>3.3339999999999996</v>
      </c>
      <c r="Q142" s="89">
        <f t="shared" si="33"/>
        <v>0</v>
      </c>
      <c r="R142" s="89">
        <f t="shared" si="34"/>
        <v>0</v>
      </c>
      <c r="S142" s="89">
        <f t="shared" si="35"/>
        <v>3.3339999999999996</v>
      </c>
      <c r="T142" s="49"/>
      <c r="U142" s="89">
        <f t="shared" ref="U142:U147" si="37">R141+SUM(O142:Q142)</f>
        <v>3.3339999999999996</v>
      </c>
    </row>
    <row r="143" spans="1:21" x14ac:dyDescent="0.2">
      <c r="A143" s="33">
        <v>2000</v>
      </c>
      <c r="B143" s="89">
        <v>0</v>
      </c>
      <c r="C143" s="89">
        <v>0</v>
      </c>
      <c r="D143" s="89">
        <v>1.2909999999999999</v>
      </c>
      <c r="E143" s="89">
        <v>2.0640000000000001</v>
      </c>
      <c r="F143" s="89">
        <v>0.88200000000000001</v>
      </c>
      <c r="G143" s="89">
        <v>0</v>
      </c>
      <c r="H143" s="89">
        <v>0</v>
      </c>
      <c r="I143" s="89">
        <v>0</v>
      </c>
      <c r="J143" s="89">
        <v>0</v>
      </c>
      <c r="K143" s="89">
        <v>0</v>
      </c>
      <c r="L143" s="89">
        <v>0</v>
      </c>
      <c r="M143" s="89">
        <v>0</v>
      </c>
      <c r="N143" s="49"/>
      <c r="O143" s="89">
        <f t="shared" si="31"/>
        <v>1.2909999999999999</v>
      </c>
      <c r="P143" s="89">
        <f t="shared" si="32"/>
        <v>2.9460000000000002</v>
      </c>
      <c r="Q143" s="89">
        <f t="shared" si="33"/>
        <v>0</v>
      </c>
      <c r="R143" s="89">
        <f t="shared" si="34"/>
        <v>0</v>
      </c>
      <c r="S143" s="89">
        <f t="shared" si="35"/>
        <v>4.2370000000000001</v>
      </c>
      <c r="T143" s="49"/>
      <c r="U143" s="89">
        <f t="shared" si="37"/>
        <v>4.2370000000000001</v>
      </c>
    </row>
    <row r="144" spans="1:21" x14ac:dyDescent="0.2">
      <c r="A144" s="132">
        <v>2001</v>
      </c>
      <c r="B144" s="89">
        <v>0</v>
      </c>
      <c r="C144" s="89">
        <v>0</v>
      </c>
      <c r="D144" s="89">
        <v>0</v>
      </c>
      <c r="E144" s="89">
        <v>0</v>
      </c>
      <c r="F144" s="89">
        <v>3.5999999999999997E-2</v>
      </c>
      <c r="G144" s="89">
        <v>0</v>
      </c>
      <c r="H144" s="89">
        <v>0</v>
      </c>
      <c r="I144" s="89">
        <v>0</v>
      </c>
      <c r="J144" s="89">
        <v>0</v>
      </c>
      <c r="K144" s="89">
        <v>0</v>
      </c>
      <c r="L144" s="89">
        <v>0</v>
      </c>
      <c r="M144" s="89">
        <v>0</v>
      </c>
      <c r="N144" s="49"/>
      <c r="O144" s="89">
        <f t="shared" si="31"/>
        <v>0</v>
      </c>
      <c r="P144" s="89">
        <f t="shared" si="32"/>
        <v>3.5999999999999997E-2</v>
      </c>
      <c r="Q144" s="89">
        <f t="shared" si="33"/>
        <v>0</v>
      </c>
      <c r="R144" s="89">
        <f t="shared" si="34"/>
        <v>0</v>
      </c>
      <c r="S144" s="89">
        <f t="shared" si="35"/>
        <v>3.5999999999999997E-2</v>
      </c>
      <c r="T144" s="49"/>
      <c r="U144" s="89">
        <f t="shared" si="37"/>
        <v>3.5999999999999997E-2</v>
      </c>
    </row>
    <row r="145" spans="1:21" x14ac:dyDescent="0.2">
      <c r="A145" s="110">
        <v>2002</v>
      </c>
      <c r="B145" s="21">
        <v>0</v>
      </c>
      <c r="C145" s="21">
        <v>0</v>
      </c>
      <c r="D145" s="89">
        <v>1.2999999999999999E-2</v>
      </c>
      <c r="E145" s="89">
        <v>5.1999999999999998E-2</v>
      </c>
      <c r="F145" s="89">
        <v>0</v>
      </c>
      <c r="G145" s="21">
        <v>0</v>
      </c>
      <c r="H145" s="21">
        <v>0</v>
      </c>
      <c r="I145" s="21">
        <v>0</v>
      </c>
      <c r="J145" s="21">
        <v>0</v>
      </c>
      <c r="K145" s="21">
        <v>0</v>
      </c>
      <c r="L145" s="207">
        <v>0</v>
      </c>
      <c r="M145" s="89">
        <v>0</v>
      </c>
      <c r="N145" s="49"/>
      <c r="O145" s="89">
        <f t="shared" si="31"/>
        <v>1.2999999999999999E-2</v>
      </c>
      <c r="P145" s="89">
        <f t="shared" si="32"/>
        <v>5.1999999999999998E-2</v>
      </c>
      <c r="Q145" s="89">
        <f t="shared" si="33"/>
        <v>0</v>
      </c>
      <c r="R145" s="89">
        <f>SUM(K145:M145)</f>
        <v>0</v>
      </c>
      <c r="S145" s="89">
        <f>SUM(O145:R145)</f>
        <v>6.5000000000000002E-2</v>
      </c>
      <c r="T145" s="216"/>
      <c r="U145" s="89">
        <f t="shared" si="37"/>
        <v>6.5000000000000002E-2</v>
      </c>
    </row>
    <row r="146" spans="1:21" x14ac:dyDescent="0.2">
      <c r="A146" s="110">
        <v>2003</v>
      </c>
      <c r="B146" s="21">
        <v>0</v>
      </c>
      <c r="C146" s="21">
        <v>0</v>
      </c>
      <c r="D146" s="89">
        <v>0</v>
      </c>
      <c r="E146" s="89">
        <v>0</v>
      </c>
      <c r="F146" s="89">
        <v>0</v>
      </c>
      <c r="G146" s="21">
        <v>0</v>
      </c>
      <c r="H146" s="21">
        <v>0</v>
      </c>
      <c r="I146" s="21">
        <v>0</v>
      </c>
      <c r="J146" s="21">
        <v>0</v>
      </c>
      <c r="K146" s="21">
        <v>0</v>
      </c>
      <c r="L146" s="207">
        <v>0</v>
      </c>
      <c r="M146" s="89">
        <v>0</v>
      </c>
      <c r="N146" s="49"/>
      <c r="O146" s="89">
        <f>SUM(B146:D146)</f>
        <v>0</v>
      </c>
      <c r="P146" s="89">
        <f>SUM(E146:G146)</f>
        <v>0</v>
      </c>
      <c r="Q146" s="89">
        <f t="shared" si="33"/>
        <v>0</v>
      </c>
      <c r="R146" s="89">
        <f>SUM(K146:M146)</f>
        <v>0</v>
      </c>
      <c r="S146" s="89">
        <f>SUM(O146:R146)</f>
        <v>0</v>
      </c>
      <c r="T146" s="216"/>
      <c r="U146" s="89">
        <f t="shared" si="37"/>
        <v>0</v>
      </c>
    </row>
    <row r="147" spans="1:21" x14ac:dyDescent="0.2">
      <c r="A147" s="110">
        <v>2004</v>
      </c>
      <c r="B147" s="21">
        <v>0</v>
      </c>
      <c r="C147" s="21">
        <v>0</v>
      </c>
      <c r="D147" s="89">
        <v>0</v>
      </c>
      <c r="E147" s="89">
        <v>0</v>
      </c>
      <c r="F147" s="89">
        <v>0</v>
      </c>
      <c r="G147" s="21">
        <v>0</v>
      </c>
      <c r="H147" s="21">
        <v>0</v>
      </c>
      <c r="I147" s="21">
        <v>0</v>
      </c>
      <c r="J147" s="21">
        <v>0</v>
      </c>
      <c r="K147" s="21">
        <v>0</v>
      </c>
      <c r="L147" s="207">
        <v>0</v>
      </c>
      <c r="M147" s="89">
        <v>0</v>
      </c>
      <c r="N147" s="49"/>
      <c r="O147" s="89">
        <f>SUM(B147:D147)</f>
        <v>0</v>
      </c>
      <c r="P147" s="89">
        <f>SUM(E147:G147)</f>
        <v>0</v>
      </c>
      <c r="Q147" s="89">
        <f t="shared" si="33"/>
        <v>0</v>
      </c>
      <c r="R147" s="89">
        <v>0</v>
      </c>
      <c r="S147" s="89">
        <v>0</v>
      </c>
      <c r="T147" s="216"/>
      <c r="U147" s="89">
        <f t="shared" si="37"/>
        <v>0</v>
      </c>
    </row>
    <row r="148" spans="1:21" x14ac:dyDescent="0.2">
      <c r="A148" s="110">
        <v>2005</v>
      </c>
      <c r="B148" s="21">
        <v>0</v>
      </c>
      <c r="C148" s="21">
        <v>0</v>
      </c>
      <c r="D148" s="89">
        <v>0</v>
      </c>
      <c r="E148" s="89">
        <v>0</v>
      </c>
      <c r="F148" s="89">
        <v>0</v>
      </c>
      <c r="G148" s="21">
        <v>0</v>
      </c>
      <c r="H148" s="21">
        <v>0</v>
      </c>
      <c r="I148" s="21">
        <v>0</v>
      </c>
      <c r="J148" s="21">
        <v>0</v>
      </c>
      <c r="K148" s="21">
        <v>0</v>
      </c>
      <c r="L148" s="207">
        <v>0</v>
      </c>
      <c r="M148" s="89">
        <v>0</v>
      </c>
      <c r="N148" s="49"/>
      <c r="O148" s="89">
        <f>SUM(B148:D148)</f>
        <v>0</v>
      </c>
      <c r="P148" s="89">
        <f>SUM(E148:G148)</f>
        <v>0</v>
      </c>
      <c r="Q148" s="89">
        <f t="shared" si="33"/>
        <v>0</v>
      </c>
      <c r="R148" s="89">
        <v>0</v>
      </c>
      <c r="S148" s="89">
        <v>0</v>
      </c>
      <c r="T148" s="216"/>
      <c r="U148" s="89">
        <f>R147+SUM(O148:Q148)</f>
        <v>0</v>
      </c>
    </row>
    <row r="149" spans="1:21" x14ac:dyDescent="0.2">
      <c r="A149" s="110">
        <v>2006</v>
      </c>
      <c r="B149" s="21">
        <v>0</v>
      </c>
      <c r="C149" s="21">
        <v>0</v>
      </c>
      <c r="D149" s="89">
        <v>0</v>
      </c>
      <c r="E149" s="89">
        <v>0</v>
      </c>
      <c r="F149" s="89">
        <v>0</v>
      </c>
      <c r="G149" s="21">
        <v>0</v>
      </c>
      <c r="H149" s="21">
        <v>0</v>
      </c>
      <c r="I149" s="21">
        <v>0</v>
      </c>
      <c r="J149" s="21">
        <v>0</v>
      </c>
      <c r="K149" s="21">
        <v>0</v>
      </c>
      <c r="L149" s="207">
        <v>0</v>
      </c>
      <c r="M149" s="89">
        <v>0</v>
      </c>
      <c r="N149" s="49"/>
      <c r="O149" s="89">
        <f>SUM(B149:D149)</f>
        <v>0</v>
      </c>
      <c r="P149" s="89">
        <f>SUM(E149:G149)</f>
        <v>0</v>
      </c>
      <c r="Q149" s="89">
        <f t="shared" si="33"/>
        <v>0</v>
      </c>
      <c r="R149" s="89">
        <v>0</v>
      </c>
      <c r="S149" s="89">
        <v>0</v>
      </c>
      <c r="T149" s="216"/>
      <c r="U149" s="89">
        <f>R148+SUM(O149:Q149)</f>
        <v>0</v>
      </c>
    </row>
    <row r="150" spans="1:21" x14ac:dyDescent="0.2">
      <c r="A150" s="207" t="s">
        <v>180</v>
      </c>
      <c r="B150" s="89"/>
      <c r="C150" s="89"/>
      <c r="D150" s="89"/>
      <c r="E150" s="89"/>
      <c r="F150" s="89"/>
      <c r="G150" s="89"/>
      <c r="H150" s="89"/>
      <c r="I150" s="89"/>
      <c r="J150" s="89"/>
      <c r="K150" s="89"/>
      <c r="L150" s="89"/>
      <c r="M150" s="89"/>
      <c r="N150" s="49"/>
      <c r="O150" s="89"/>
      <c r="P150" s="89"/>
      <c r="Q150" s="89"/>
      <c r="R150" s="89"/>
      <c r="S150" s="89"/>
      <c r="T150" s="49"/>
      <c r="U150" s="215"/>
    </row>
    <row r="151" spans="1:21" x14ac:dyDescent="0.2">
      <c r="A151" s="33">
        <v>1992</v>
      </c>
      <c r="B151" s="89">
        <f t="shared" ref="B151:M152" si="38">B6+B40+B74+B108+B135</f>
        <v>431.7</v>
      </c>
      <c r="C151" s="89">
        <f t="shared" si="38"/>
        <v>372.2</v>
      </c>
      <c r="D151" s="89">
        <f t="shared" si="38"/>
        <v>362.59999999999997</v>
      </c>
      <c r="E151" s="89">
        <f t="shared" si="38"/>
        <v>101.2</v>
      </c>
      <c r="F151" s="89">
        <f t="shared" si="38"/>
        <v>81.199999999999989</v>
      </c>
      <c r="G151" s="89">
        <f t="shared" si="38"/>
        <v>96.6</v>
      </c>
      <c r="H151" s="89">
        <f t="shared" si="38"/>
        <v>87.4</v>
      </c>
      <c r="I151" s="89">
        <f t="shared" si="38"/>
        <v>93.8</v>
      </c>
      <c r="J151" s="89">
        <f t="shared" si="38"/>
        <v>53.6</v>
      </c>
      <c r="K151" s="89">
        <f>K6+K40+K74+K108+K135</f>
        <v>348.15000000000003</v>
      </c>
      <c r="L151" s="89">
        <f t="shared" si="38"/>
        <v>727.57099999999991</v>
      </c>
      <c r="M151" s="89">
        <f t="shared" si="38"/>
        <v>679.90199999999993</v>
      </c>
      <c r="N151" s="49"/>
      <c r="O151" s="89">
        <f t="shared" ref="O151:O176" si="39">SUM(B151:D151)</f>
        <v>1166.5</v>
      </c>
      <c r="P151" s="89">
        <f t="shared" ref="P151:P169" si="40">SUM(E151:G151)</f>
        <v>279</v>
      </c>
      <c r="Q151" s="89">
        <f t="shared" ref="Q151:Q181" si="41">SUM(H151:J151)</f>
        <v>234.79999999999998</v>
      </c>
      <c r="R151" s="89">
        <f t="shared" ref="R151:R179" si="42">SUM(K151:M151)</f>
        <v>1755.623</v>
      </c>
      <c r="S151" s="89">
        <f t="shared" ref="S151:S179" si="43">SUM(O151:R151)</f>
        <v>3435.9229999999998</v>
      </c>
      <c r="T151" s="49"/>
      <c r="U151" s="89">
        <f>U6+U40+U74+U108</f>
        <v>3393.3</v>
      </c>
    </row>
    <row r="152" spans="1:21" x14ac:dyDescent="0.2">
      <c r="A152" s="33">
        <v>1993</v>
      </c>
      <c r="B152" s="89">
        <f t="shared" si="38"/>
        <v>322.05799999999999</v>
      </c>
      <c r="C152" s="89">
        <f t="shared" si="38"/>
        <v>426.62</v>
      </c>
      <c r="D152" s="89">
        <f t="shared" si="38"/>
        <v>402.09699999999998</v>
      </c>
      <c r="E152" s="89">
        <f t="shared" si="38"/>
        <v>125.91</v>
      </c>
      <c r="F152" s="89">
        <f t="shared" si="38"/>
        <v>91.899999999999991</v>
      </c>
      <c r="G152" s="89">
        <f t="shared" si="38"/>
        <v>78.099999999999994</v>
      </c>
      <c r="H152" s="89">
        <f t="shared" si="38"/>
        <v>73.3</v>
      </c>
      <c r="I152" s="89">
        <f t="shared" si="38"/>
        <v>91.9</v>
      </c>
      <c r="J152" s="89">
        <f t="shared" si="38"/>
        <v>78.099999999999994</v>
      </c>
      <c r="K152" s="89">
        <f>K7+K41+K75+K109+K136</f>
        <v>432.79999999999995</v>
      </c>
      <c r="L152" s="89">
        <f t="shared" si="38"/>
        <v>795.33</v>
      </c>
      <c r="M152" s="89">
        <f t="shared" si="38"/>
        <v>663.72</v>
      </c>
      <c r="N152" s="49"/>
      <c r="O152" s="89">
        <f t="shared" si="39"/>
        <v>1150.7750000000001</v>
      </c>
      <c r="P152" s="89">
        <f t="shared" si="40"/>
        <v>295.90999999999997</v>
      </c>
      <c r="Q152" s="89">
        <f t="shared" si="41"/>
        <v>243.29999999999998</v>
      </c>
      <c r="R152" s="89">
        <f t="shared" si="42"/>
        <v>1891.8500000000001</v>
      </c>
      <c r="S152" s="89">
        <f t="shared" si="43"/>
        <v>3581.835</v>
      </c>
      <c r="T152" s="49"/>
      <c r="U152" s="89">
        <f t="shared" ref="U151:U183" si="44">SUM(O152:Q152)+R151</f>
        <v>3445.6080000000002</v>
      </c>
    </row>
    <row r="153" spans="1:21" x14ac:dyDescent="0.2">
      <c r="A153" s="33">
        <v>1994</v>
      </c>
      <c r="B153" s="89">
        <f t="shared" ref="B153:M153" si="45">B8+B42+B76+B110+B137</f>
        <v>418.84000000000003</v>
      </c>
      <c r="C153" s="89">
        <f t="shared" si="45"/>
        <v>353.26</v>
      </c>
      <c r="D153" s="89">
        <f t="shared" si="45"/>
        <v>354.14</v>
      </c>
      <c r="E153" s="89">
        <f t="shared" si="45"/>
        <v>87.289999999999992</v>
      </c>
      <c r="F153" s="89">
        <f t="shared" si="45"/>
        <v>102.3</v>
      </c>
      <c r="G153" s="89">
        <f t="shared" si="45"/>
        <v>85.5</v>
      </c>
      <c r="H153" s="89">
        <f t="shared" si="45"/>
        <v>102</v>
      </c>
      <c r="I153" s="89">
        <f t="shared" si="45"/>
        <v>91</v>
      </c>
      <c r="J153" s="89">
        <f t="shared" si="45"/>
        <v>79.399999999999991</v>
      </c>
      <c r="K153" s="89">
        <f t="shared" si="45"/>
        <v>444.79999999999995</v>
      </c>
      <c r="L153" s="89">
        <f t="shared" si="45"/>
        <v>741.19999999999993</v>
      </c>
      <c r="M153" s="89">
        <f t="shared" si="45"/>
        <v>625.52</v>
      </c>
      <c r="N153" s="49"/>
      <c r="O153" s="89">
        <f t="shared" si="39"/>
        <v>1126.24</v>
      </c>
      <c r="P153" s="89">
        <f t="shared" si="40"/>
        <v>275.08999999999997</v>
      </c>
      <c r="Q153" s="89">
        <f t="shared" si="41"/>
        <v>272.39999999999998</v>
      </c>
      <c r="R153" s="89">
        <f t="shared" si="42"/>
        <v>1811.52</v>
      </c>
      <c r="S153" s="89">
        <f t="shared" si="43"/>
        <v>3485.25</v>
      </c>
      <c r="T153" s="49"/>
      <c r="U153" s="89">
        <f t="shared" si="44"/>
        <v>3565.58</v>
      </c>
    </row>
    <row r="154" spans="1:21" x14ac:dyDescent="0.2">
      <c r="A154" s="35">
        <v>1995</v>
      </c>
      <c r="B154" s="89">
        <f t="shared" ref="B154:M154" si="46">B9+B43+B77+B111+B138</f>
        <v>417.10899999999998</v>
      </c>
      <c r="C154" s="89">
        <f t="shared" si="46"/>
        <v>391.226</v>
      </c>
      <c r="D154" s="89">
        <f t="shared" si="46"/>
        <v>420.28399999999999</v>
      </c>
      <c r="E154" s="89">
        <f t="shared" si="46"/>
        <v>66.162999999999997</v>
      </c>
      <c r="F154" s="89">
        <f t="shared" si="46"/>
        <v>62.692999999999998</v>
      </c>
      <c r="G154" s="89">
        <f t="shared" si="46"/>
        <v>66.912000000000006</v>
      </c>
      <c r="H154" s="89">
        <f t="shared" si="46"/>
        <v>75.311000000000007</v>
      </c>
      <c r="I154" s="89">
        <f t="shared" si="46"/>
        <v>62.381999999999998</v>
      </c>
      <c r="J154" s="89">
        <f t="shared" si="46"/>
        <v>60.271000000000001</v>
      </c>
      <c r="K154" s="89">
        <f t="shared" si="46"/>
        <v>393.40799999999996</v>
      </c>
      <c r="L154" s="89">
        <f t="shared" si="46"/>
        <v>825.02900000000011</v>
      </c>
      <c r="M154" s="89">
        <f t="shared" si="46"/>
        <v>770.20899999999995</v>
      </c>
      <c r="N154" s="49"/>
      <c r="O154" s="89">
        <f t="shared" si="39"/>
        <v>1228.6190000000001</v>
      </c>
      <c r="P154" s="89">
        <f t="shared" si="40"/>
        <v>195.768</v>
      </c>
      <c r="Q154" s="89">
        <f t="shared" si="41"/>
        <v>197.964</v>
      </c>
      <c r="R154" s="89">
        <f t="shared" si="42"/>
        <v>1988.6460000000002</v>
      </c>
      <c r="S154" s="89">
        <f t="shared" si="43"/>
        <v>3610.9970000000003</v>
      </c>
      <c r="T154" s="49"/>
      <c r="U154" s="89">
        <f t="shared" si="44"/>
        <v>3433.8710000000001</v>
      </c>
    </row>
    <row r="155" spans="1:21" x14ac:dyDescent="0.2">
      <c r="A155" s="35">
        <v>1996</v>
      </c>
      <c r="B155" s="89">
        <f t="shared" ref="B155:M155" si="47">B10+B44+B78+B112+B139</f>
        <v>472.86199999999997</v>
      </c>
      <c r="C155" s="89">
        <f t="shared" si="47"/>
        <v>408.60199999999998</v>
      </c>
      <c r="D155" s="89">
        <f t="shared" si="47"/>
        <v>237.55700000000002</v>
      </c>
      <c r="E155" s="89">
        <f t="shared" si="47"/>
        <v>44.1</v>
      </c>
      <c r="F155" s="89">
        <f t="shared" si="47"/>
        <v>57.118000000000002</v>
      </c>
      <c r="G155" s="89">
        <f t="shared" si="47"/>
        <v>71.66</v>
      </c>
      <c r="H155" s="89">
        <f t="shared" si="47"/>
        <v>52.947000000000003</v>
      </c>
      <c r="I155" s="89">
        <f t="shared" si="47"/>
        <v>59.374000000000002</v>
      </c>
      <c r="J155" s="89">
        <f t="shared" si="47"/>
        <v>61.534999999999997</v>
      </c>
      <c r="K155" s="89">
        <f t="shared" si="47"/>
        <v>316.13</v>
      </c>
      <c r="L155" s="89">
        <f t="shared" si="47"/>
        <v>772.77700000000004</v>
      </c>
      <c r="M155" s="89">
        <f t="shared" si="47"/>
        <v>804.63099999999997</v>
      </c>
      <c r="N155" s="49"/>
      <c r="O155" s="89">
        <f t="shared" si="39"/>
        <v>1119.021</v>
      </c>
      <c r="P155" s="89">
        <f t="shared" si="40"/>
        <v>172.87799999999999</v>
      </c>
      <c r="Q155" s="89">
        <f t="shared" si="41"/>
        <v>173.85599999999999</v>
      </c>
      <c r="R155" s="89">
        <f t="shared" si="42"/>
        <v>1893.538</v>
      </c>
      <c r="S155" s="89">
        <f t="shared" si="43"/>
        <v>3359.2929999999997</v>
      </c>
      <c r="T155" s="49"/>
      <c r="U155" s="89">
        <f t="shared" si="44"/>
        <v>3454.4009999999998</v>
      </c>
    </row>
    <row r="156" spans="1:21" x14ac:dyDescent="0.2">
      <c r="A156" s="35">
        <v>1997</v>
      </c>
      <c r="B156" s="89">
        <f t="shared" ref="B156:M156" si="48">B11+B45+B79+B113+B140</f>
        <v>458.26799999999997</v>
      </c>
      <c r="C156" s="89">
        <f t="shared" si="48"/>
        <v>383.32600000000002</v>
      </c>
      <c r="D156" s="89">
        <f t="shared" si="48"/>
        <v>151.62699999999998</v>
      </c>
      <c r="E156" s="89">
        <f t="shared" si="48"/>
        <v>36.591999999999999</v>
      </c>
      <c r="F156" s="89">
        <f t="shared" si="48"/>
        <v>37.406999999999996</v>
      </c>
      <c r="G156" s="89">
        <f t="shared" si="48"/>
        <v>60.737000000000002</v>
      </c>
      <c r="H156" s="89">
        <f t="shared" si="48"/>
        <v>49.585999999999999</v>
      </c>
      <c r="I156" s="89">
        <f t="shared" si="48"/>
        <v>64.677999999999997</v>
      </c>
      <c r="J156" s="89">
        <f t="shared" si="48"/>
        <v>56.447000000000003</v>
      </c>
      <c r="K156" s="89">
        <f t="shared" si="48"/>
        <v>535.60500000000002</v>
      </c>
      <c r="L156" s="89">
        <f t="shared" si="48"/>
        <v>898.29399999999998</v>
      </c>
      <c r="M156" s="89">
        <f t="shared" si="48"/>
        <v>708.88699999999994</v>
      </c>
      <c r="N156" s="49"/>
      <c r="O156" s="89">
        <f t="shared" si="39"/>
        <v>993.221</v>
      </c>
      <c r="P156" s="89">
        <f t="shared" si="40"/>
        <v>134.73599999999999</v>
      </c>
      <c r="Q156" s="89">
        <f t="shared" si="41"/>
        <v>170.71100000000001</v>
      </c>
      <c r="R156" s="89">
        <f t="shared" si="42"/>
        <v>2142.7860000000001</v>
      </c>
      <c r="S156" s="89">
        <f t="shared" si="43"/>
        <v>3441.4539999999997</v>
      </c>
      <c r="T156" s="49"/>
      <c r="U156" s="89">
        <f t="shared" si="44"/>
        <v>3192.2060000000001</v>
      </c>
    </row>
    <row r="157" spans="1:21" x14ac:dyDescent="0.2">
      <c r="A157" s="35">
        <v>1998</v>
      </c>
      <c r="B157" s="89">
        <f t="shared" ref="B157:M157" si="49">B12+B46+B80+B114+B141</f>
        <v>486.45299999999997</v>
      </c>
      <c r="C157" s="89">
        <f t="shared" si="49"/>
        <v>315.90999999999997</v>
      </c>
      <c r="D157" s="89">
        <f t="shared" si="49"/>
        <v>321.904</v>
      </c>
      <c r="E157" s="89">
        <f t="shared" si="49"/>
        <v>129.81899999999999</v>
      </c>
      <c r="F157" s="89">
        <f t="shared" si="49"/>
        <v>34.433</v>
      </c>
      <c r="G157" s="89">
        <f t="shared" si="49"/>
        <v>40.952999999999996</v>
      </c>
      <c r="H157" s="89">
        <f t="shared" si="49"/>
        <v>52.024999999999999</v>
      </c>
      <c r="I157" s="89">
        <f t="shared" si="49"/>
        <v>59.472000000000001</v>
      </c>
      <c r="J157" s="89">
        <f t="shared" si="49"/>
        <v>47.07</v>
      </c>
      <c r="K157" s="89">
        <f t="shared" si="49"/>
        <v>434.51399999999995</v>
      </c>
      <c r="L157" s="89">
        <f t="shared" si="49"/>
        <v>739.3370000000001</v>
      </c>
      <c r="M157" s="89">
        <f t="shared" si="49"/>
        <v>902.25200000000007</v>
      </c>
      <c r="N157" s="49"/>
      <c r="O157" s="89">
        <f t="shared" si="39"/>
        <v>1124.2669999999998</v>
      </c>
      <c r="P157" s="89">
        <f t="shared" si="40"/>
        <v>205.20499999999998</v>
      </c>
      <c r="Q157" s="89">
        <f t="shared" si="41"/>
        <v>158.56700000000001</v>
      </c>
      <c r="R157" s="89">
        <f t="shared" si="42"/>
        <v>2076.1030000000001</v>
      </c>
      <c r="S157" s="89">
        <f t="shared" si="43"/>
        <v>3564.1419999999998</v>
      </c>
      <c r="T157" s="49"/>
      <c r="U157" s="89">
        <f t="shared" si="44"/>
        <v>3630.8249999999998</v>
      </c>
    </row>
    <row r="158" spans="1:21" x14ac:dyDescent="0.2">
      <c r="A158" s="35">
        <v>1999</v>
      </c>
      <c r="B158" s="89">
        <f t="shared" ref="B158:M158" si="50">B13+B47+B81+B115+B142</f>
        <v>558.16800000000001</v>
      </c>
      <c r="C158" s="89">
        <f t="shared" si="50"/>
        <v>422.38600000000002</v>
      </c>
      <c r="D158" s="89">
        <f t="shared" si="50"/>
        <v>401.57400000000001</v>
      </c>
      <c r="E158" s="89">
        <f t="shared" si="50"/>
        <v>177.34299999999999</v>
      </c>
      <c r="F158" s="89">
        <f t="shared" si="50"/>
        <v>63.716999999999999</v>
      </c>
      <c r="G158" s="89">
        <f t="shared" si="50"/>
        <v>48.738</v>
      </c>
      <c r="H158" s="89">
        <f t="shared" si="50"/>
        <v>43.139000000000003</v>
      </c>
      <c r="I158" s="89">
        <f t="shared" si="50"/>
        <v>47.323999999999998</v>
      </c>
      <c r="J158" s="89">
        <f t="shared" si="50"/>
        <v>113.352</v>
      </c>
      <c r="K158" s="89">
        <f>K13+K47+K81+K115+K142</f>
        <v>630.80600000000004</v>
      </c>
      <c r="L158" s="89">
        <f t="shared" si="50"/>
        <v>947.86500000000012</v>
      </c>
      <c r="M158" s="89">
        <f t="shared" si="50"/>
        <v>954.87199999999996</v>
      </c>
      <c r="N158" s="49"/>
      <c r="O158" s="89">
        <f t="shared" si="39"/>
        <v>1382.1280000000002</v>
      </c>
      <c r="P158" s="89">
        <f t="shared" si="40"/>
        <v>289.798</v>
      </c>
      <c r="Q158" s="89">
        <f t="shared" si="41"/>
        <v>203.815</v>
      </c>
      <c r="R158" s="89">
        <f t="shared" si="42"/>
        <v>2533.5430000000001</v>
      </c>
      <c r="S158" s="89">
        <f t="shared" si="43"/>
        <v>4409.2840000000006</v>
      </c>
      <c r="T158" s="49"/>
      <c r="U158" s="89">
        <f t="shared" si="44"/>
        <v>3951.8440000000001</v>
      </c>
    </row>
    <row r="159" spans="1:21" x14ac:dyDescent="0.2">
      <c r="A159" s="33">
        <v>2000</v>
      </c>
      <c r="B159" s="89">
        <f t="shared" ref="B159:M159" si="51">B14+B48+B82+B116+B143</f>
        <v>548.53700000000003</v>
      </c>
      <c r="C159" s="89">
        <f t="shared" si="51"/>
        <v>414.27800000000002</v>
      </c>
      <c r="D159" s="89">
        <f t="shared" si="51"/>
        <v>227.74599999999998</v>
      </c>
      <c r="E159" s="89">
        <f t="shared" si="51"/>
        <v>103.95999999999998</v>
      </c>
      <c r="F159" s="89">
        <f t="shared" si="51"/>
        <v>42.068999999999996</v>
      </c>
      <c r="G159" s="89">
        <f t="shared" si="51"/>
        <v>42.073</v>
      </c>
      <c r="H159" s="89">
        <f t="shared" si="51"/>
        <v>43.9</v>
      </c>
      <c r="I159" s="89">
        <f t="shared" si="51"/>
        <v>32.200000000000003</v>
      </c>
      <c r="J159" s="89">
        <f t="shared" si="51"/>
        <v>77.108000000000004</v>
      </c>
      <c r="K159" s="89">
        <f t="shared" si="51"/>
        <v>685.57100000000003</v>
      </c>
      <c r="L159" s="89">
        <f t="shared" si="51"/>
        <v>903.51600000000008</v>
      </c>
      <c r="M159" s="89">
        <f t="shared" si="51"/>
        <v>917.67900000000009</v>
      </c>
      <c r="N159" s="49"/>
      <c r="O159" s="89">
        <f t="shared" si="39"/>
        <v>1190.5610000000001</v>
      </c>
      <c r="P159" s="89">
        <f t="shared" si="40"/>
        <v>188.10199999999998</v>
      </c>
      <c r="Q159" s="89">
        <f t="shared" si="41"/>
        <v>153.208</v>
      </c>
      <c r="R159" s="89">
        <f t="shared" si="42"/>
        <v>2506.7660000000001</v>
      </c>
      <c r="S159" s="89">
        <f t="shared" si="43"/>
        <v>4038.6370000000002</v>
      </c>
      <c r="T159" s="49"/>
      <c r="U159" s="89">
        <f t="shared" si="44"/>
        <v>4065.4140000000002</v>
      </c>
    </row>
    <row r="160" spans="1:21" x14ac:dyDescent="0.2">
      <c r="A160" s="132">
        <v>2001</v>
      </c>
      <c r="B160" s="89">
        <f t="shared" ref="B160:M160" si="52">B15+B49+B83+B117+B144</f>
        <v>558.30199999999991</v>
      </c>
      <c r="C160" s="89">
        <f t="shared" si="52"/>
        <v>415.149</v>
      </c>
      <c r="D160" s="89">
        <f t="shared" si="52"/>
        <v>297.47399999999999</v>
      </c>
      <c r="E160" s="89">
        <f t="shared" si="52"/>
        <v>83.203000000000003</v>
      </c>
      <c r="F160" s="89">
        <f t="shared" si="52"/>
        <v>44.258000000000003</v>
      </c>
      <c r="G160" s="89">
        <f t="shared" si="52"/>
        <v>30.934999999999999</v>
      </c>
      <c r="H160" s="89">
        <f t="shared" si="52"/>
        <v>31.172000000000001</v>
      </c>
      <c r="I160" s="89">
        <f t="shared" si="52"/>
        <v>30.257999999999999</v>
      </c>
      <c r="J160" s="89">
        <f t="shared" si="52"/>
        <v>91.748999999999995</v>
      </c>
      <c r="K160" s="89">
        <f t="shared" si="52"/>
        <v>664.01099999999997</v>
      </c>
      <c r="L160" s="89">
        <f t="shared" si="52"/>
        <v>976.86099999999999</v>
      </c>
      <c r="M160" s="89">
        <f t="shared" si="52"/>
        <v>849.12000000000012</v>
      </c>
      <c r="N160" s="49"/>
      <c r="O160" s="89">
        <f t="shared" si="39"/>
        <v>1270.925</v>
      </c>
      <c r="P160" s="89">
        <f t="shared" si="40"/>
        <v>158.39600000000002</v>
      </c>
      <c r="Q160" s="89">
        <f t="shared" si="41"/>
        <v>153.179</v>
      </c>
      <c r="R160" s="89">
        <f t="shared" si="42"/>
        <v>2489.9920000000002</v>
      </c>
      <c r="S160" s="89">
        <f t="shared" si="43"/>
        <v>4072.4920000000002</v>
      </c>
      <c r="T160" s="49"/>
      <c r="U160" s="89">
        <f t="shared" si="44"/>
        <v>4089.2660000000001</v>
      </c>
    </row>
    <row r="161" spans="1:21" x14ac:dyDescent="0.2">
      <c r="A161" s="132">
        <v>2002</v>
      </c>
      <c r="B161" s="89">
        <f t="shared" ref="B161:M161" si="53">B16+B50+B84+B118+B145</f>
        <v>507.99099999999999</v>
      </c>
      <c r="C161" s="89">
        <f t="shared" si="53"/>
        <v>328.54899999999998</v>
      </c>
      <c r="D161" s="89">
        <f t="shared" si="53"/>
        <v>395.86700000000002</v>
      </c>
      <c r="E161" s="89">
        <f t="shared" si="53"/>
        <v>71.088000000000008</v>
      </c>
      <c r="F161" s="89">
        <f t="shared" si="53"/>
        <v>17.457000000000001</v>
      </c>
      <c r="G161" s="89">
        <f t="shared" si="53"/>
        <v>33.701999999999998</v>
      </c>
      <c r="H161" s="89">
        <f t="shared" si="53"/>
        <v>31.340999999999998</v>
      </c>
      <c r="I161" s="89">
        <f t="shared" si="53"/>
        <v>30.459</v>
      </c>
      <c r="J161" s="89">
        <f t="shared" si="53"/>
        <v>78.167000000000002</v>
      </c>
      <c r="K161" s="89">
        <f t="shared" si="53"/>
        <v>469.32600000000008</v>
      </c>
      <c r="L161" s="89">
        <f t="shared" si="53"/>
        <v>805.51699999999994</v>
      </c>
      <c r="M161" s="89">
        <f t="shared" si="53"/>
        <v>830.91499999999996</v>
      </c>
      <c r="N161" s="49"/>
      <c r="O161" s="89">
        <f t="shared" si="39"/>
        <v>1232.4069999999999</v>
      </c>
      <c r="P161" s="89">
        <f t="shared" si="40"/>
        <v>122.24700000000001</v>
      </c>
      <c r="Q161" s="89">
        <f t="shared" si="41"/>
        <v>139.96699999999998</v>
      </c>
      <c r="R161" s="89">
        <f t="shared" si="42"/>
        <v>2105.7579999999998</v>
      </c>
      <c r="S161" s="89">
        <f t="shared" si="43"/>
        <v>3600.3789999999999</v>
      </c>
      <c r="T161" s="47"/>
      <c r="U161" s="89">
        <f t="shared" si="44"/>
        <v>3984.6130000000003</v>
      </c>
    </row>
    <row r="162" spans="1:21" x14ac:dyDescent="0.2">
      <c r="A162" s="132">
        <v>2003</v>
      </c>
      <c r="B162" s="89">
        <f t="shared" ref="B162:M162" si="54">B17+B51+B85+B119+B146</f>
        <v>598.70000000000005</v>
      </c>
      <c r="C162" s="89">
        <f t="shared" si="54"/>
        <v>424.85399999999998</v>
      </c>
      <c r="D162" s="89">
        <f t="shared" si="54"/>
        <v>425.69299999999998</v>
      </c>
      <c r="E162" s="89">
        <f t="shared" si="54"/>
        <v>148.46600000000001</v>
      </c>
      <c r="F162" s="89">
        <f t="shared" si="54"/>
        <v>54.82</v>
      </c>
      <c r="G162" s="89">
        <f t="shared" si="54"/>
        <v>32.168999999999997</v>
      </c>
      <c r="H162" s="89">
        <f t="shared" si="54"/>
        <v>32.524999999999999</v>
      </c>
      <c r="I162" s="89">
        <f t="shared" si="54"/>
        <v>34.369</v>
      </c>
      <c r="J162" s="89">
        <f t="shared" si="54"/>
        <v>106.242</v>
      </c>
      <c r="K162" s="89">
        <f t="shared" si="54"/>
        <v>674.79200000000003</v>
      </c>
      <c r="L162" s="89">
        <f t="shared" si="54"/>
        <v>949.9860000000001</v>
      </c>
      <c r="M162" s="89">
        <f t="shared" si="54"/>
        <v>743.01099999999997</v>
      </c>
      <c r="N162" s="49"/>
      <c r="O162" s="89">
        <f t="shared" si="39"/>
        <v>1449.2470000000001</v>
      </c>
      <c r="P162" s="89">
        <f t="shared" si="40"/>
        <v>235.45499999999998</v>
      </c>
      <c r="Q162" s="89">
        <f t="shared" si="41"/>
        <v>173.13600000000002</v>
      </c>
      <c r="R162" s="89">
        <f t="shared" si="42"/>
        <v>2367.7890000000002</v>
      </c>
      <c r="S162" s="89">
        <f t="shared" si="43"/>
        <v>4225.6270000000004</v>
      </c>
      <c r="T162" s="47"/>
      <c r="U162" s="89">
        <f t="shared" si="44"/>
        <v>3963.5959999999995</v>
      </c>
    </row>
    <row r="163" spans="1:21" x14ac:dyDescent="0.2">
      <c r="A163" s="132">
        <v>2004</v>
      </c>
      <c r="B163" s="89">
        <f t="shared" ref="B163:M163" si="55">B18+B52+B86+B120+B147</f>
        <v>460.20800000000003</v>
      </c>
      <c r="C163" s="89">
        <f t="shared" si="55"/>
        <v>391.75899999999996</v>
      </c>
      <c r="D163" s="89">
        <f t="shared" si="55"/>
        <v>420.3</v>
      </c>
      <c r="E163" s="89">
        <f t="shared" si="55"/>
        <v>93.518000000000001</v>
      </c>
      <c r="F163" s="89">
        <f t="shared" si="55"/>
        <v>53.153999999999996</v>
      </c>
      <c r="G163" s="89">
        <f t="shared" si="55"/>
        <v>30.539000000000001</v>
      </c>
      <c r="H163" s="89">
        <f t="shared" si="55"/>
        <v>33.420999999999999</v>
      </c>
      <c r="I163" s="89">
        <f t="shared" si="55"/>
        <v>36.982999999999997</v>
      </c>
      <c r="J163" s="89">
        <f t="shared" si="55"/>
        <v>69.343000000000004</v>
      </c>
      <c r="K163" s="89">
        <f t="shared" si="55"/>
        <v>541.12800000000004</v>
      </c>
      <c r="L163" s="89">
        <f t="shared" si="55"/>
        <v>881.38</v>
      </c>
      <c r="M163" s="89">
        <f t="shared" si="55"/>
        <v>681.36800000000005</v>
      </c>
      <c r="N163" s="49"/>
      <c r="O163" s="89">
        <f t="shared" si="39"/>
        <v>1272.2670000000001</v>
      </c>
      <c r="P163" s="89">
        <f t="shared" si="40"/>
        <v>177.21100000000001</v>
      </c>
      <c r="Q163" s="89">
        <f t="shared" si="41"/>
        <v>139.74700000000001</v>
      </c>
      <c r="R163" s="89">
        <f t="shared" si="42"/>
        <v>2103.8760000000002</v>
      </c>
      <c r="S163" s="89">
        <f t="shared" si="43"/>
        <v>3693.1010000000006</v>
      </c>
      <c r="T163" s="47"/>
      <c r="U163" s="89">
        <f t="shared" si="44"/>
        <v>3957.0140000000001</v>
      </c>
    </row>
    <row r="164" spans="1:21" x14ac:dyDescent="0.2">
      <c r="A164" s="132">
        <v>2005</v>
      </c>
      <c r="B164" s="89">
        <f t="shared" ref="B164:M164" si="56">B19+B53+B87+B121+B148</f>
        <v>428.62799999999999</v>
      </c>
      <c r="C164" s="89">
        <f t="shared" si="56"/>
        <v>307.35199999999998</v>
      </c>
      <c r="D164" s="89">
        <f t="shared" si="56"/>
        <v>226.905</v>
      </c>
      <c r="E164" s="89">
        <f t="shared" si="56"/>
        <v>56.793999999999997</v>
      </c>
      <c r="F164" s="89">
        <f t="shared" si="56"/>
        <v>34.899000000000001</v>
      </c>
      <c r="G164" s="89">
        <f t="shared" si="56"/>
        <v>23.91</v>
      </c>
      <c r="H164" s="89">
        <f t="shared" si="56"/>
        <v>34.137999999999998</v>
      </c>
      <c r="I164" s="89">
        <f t="shared" si="56"/>
        <v>25.395</v>
      </c>
      <c r="J164" s="89">
        <f t="shared" si="56"/>
        <v>23.316000000000003</v>
      </c>
      <c r="K164" s="89">
        <f t="shared" si="56"/>
        <v>423.44200000000001</v>
      </c>
      <c r="L164" s="89">
        <f t="shared" si="56"/>
        <v>766.51200000000006</v>
      </c>
      <c r="M164" s="89">
        <f t="shared" si="56"/>
        <v>701.83500000000004</v>
      </c>
      <c r="N164" s="49"/>
      <c r="O164" s="89">
        <f t="shared" si="39"/>
        <v>962.88499999999999</v>
      </c>
      <c r="P164" s="89">
        <f t="shared" si="40"/>
        <v>115.60299999999999</v>
      </c>
      <c r="Q164" s="89">
        <f t="shared" si="41"/>
        <v>82.849000000000004</v>
      </c>
      <c r="R164" s="89">
        <f t="shared" si="42"/>
        <v>1891.7890000000002</v>
      </c>
      <c r="S164" s="89">
        <f t="shared" si="43"/>
        <v>3053.1260000000002</v>
      </c>
      <c r="T164" s="47"/>
      <c r="U164" s="89">
        <f t="shared" si="44"/>
        <v>3265.2130000000002</v>
      </c>
    </row>
    <row r="165" spans="1:21" x14ac:dyDescent="0.2">
      <c r="A165" s="132">
        <v>2006</v>
      </c>
      <c r="B165" s="89">
        <f t="shared" ref="B165:M165" si="57">B20+B54+B88+B122+B149</f>
        <v>379.08299999999997</v>
      </c>
      <c r="C165" s="89">
        <f t="shared" si="57"/>
        <v>279.05399999999997</v>
      </c>
      <c r="D165" s="89">
        <f t="shared" si="57"/>
        <v>185.33</v>
      </c>
      <c r="E165" s="89">
        <f t="shared" si="57"/>
        <v>73.697000000000003</v>
      </c>
      <c r="F165" s="89">
        <f t="shared" si="57"/>
        <v>26.396999999999998</v>
      </c>
      <c r="G165" s="89">
        <f t="shared" si="57"/>
        <v>34.417999999999999</v>
      </c>
      <c r="H165" s="89">
        <f t="shared" si="57"/>
        <v>32.216999999999999</v>
      </c>
      <c r="I165" s="89">
        <f t="shared" si="57"/>
        <v>23.248999999999999</v>
      </c>
      <c r="J165" s="89">
        <f t="shared" si="57"/>
        <v>30.623999999999999</v>
      </c>
      <c r="K165" s="89">
        <f t="shared" si="57"/>
        <v>477.96400000000006</v>
      </c>
      <c r="L165" s="89">
        <f t="shared" si="57"/>
        <v>814.5920000000001</v>
      </c>
      <c r="M165" s="89">
        <f t="shared" si="57"/>
        <v>799.46</v>
      </c>
      <c r="N165" s="49"/>
      <c r="O165" s="89">
        <f t="shared" si="39"/>
        <v>843.46699999999998</v>
      </c>
      <c r="P165" s="89">
        <f t="shared" si="40"/>
        <v>134.512</v>
      </c>
      <c r="Q165" s="89">
        <f t="shared" si="41"/>
        <v>86.089999999999989</v>
      </c>
      <c r="R165" s="89">
        <f t="shared" si="42"/>
        <v>2092.0160000000001</v>
      </c>
      <c r="S165" s="89">
        <f t="shared" si="43"/>
        <v>3156.085</v>
      </c>
      <c r="T165" s="47"/>
      <c r="U165" s="89">
        <f t="shared" si="44"/>
        <v>2955.8580000000002</v>
      </c>
    </row>
    <row r="166" spans="1:21" x14ac:dyDescent="0.2">
      <c r="A166" s="132">
        <v>2007</v>
      </c>
      <c r="B166" s="89">
        <f t="shared" ref="B166:M166" si="58">B21+B55+B89+B123</f>
        <v>411.68200000000002</v>
      </c>
      <c r="C166" s="89">
        <f t="shared" si="58"/>
        <v>346.59300000000002</v>
      </c>
      <c r="D166" s="89">
        <f t="shared" si="58"/>
        <v>295.35099999999994</v>
      </c>
      <c r="E166" s="89">
        <f t="shared" si="58"/>
        <v>102.989</v>
      </c>
      <c r="F166" s="89">
        <f t="shared" si="58"/>
        <v>46.323999999999998</v>
      </c>
      <c r="G166" s="89">
        <f t="shared" si="58"/>
        <v>26.048999999999999</v>
      </c>
      <c r="H166" s="89">
        <f t="shared" si="58"/>
        <v>31.088000000000001</v>
      </c>
      <c r="I166" s="89">
        <f t="shared" si="58"/>
        <v>23.780999999999999</v>
      </c>
      <c r="J166" s="89">
        <f t="shared" si="58"/>
        <v>61.766000000000005</v>
      </c>
      <c r="K166" s="89">
        <f t="shared" si="58"/>
        <v>550.04</v>
      </c>
      <c r="L166" s="89">
        <f t="shared" si="58"/>
        <v>825.697</v>
      </c>
      <c r="M166" s="89">
        <f t="shared" si="58"/>
        <v>831.94600000000003</v>
      </c>
      <c r="N166" s="49"/>
      <c r="O166" s="89">
        <f t="shared" si="39"/>
        <v>1053.626</v>
      </c>
      <c r="P166" s="89">
        <f t="shared" si="40"/>
        <v>175.36199999999999</v>
      </c>
      <c r="Q166" s="89">
        <f t="shared" si="41"/>
        <v>116.63500000000001</v>
      </c>
      <c r="R166" s="89">
        <f t="shared" si="42"/>
        <v>2207.683</v>
      </c>
      <c r="S166" s="89">
        <f t="shared" si="43"/>
        <v>3553.306</v>
      </c>
      <c r="T166" s="47"/>
      <c r="U166" s="89">
        <f t="shared" si="44"/>
        <v>3437.6390000000001</v>
      </c>
    </row>
    <row r="167" spans="1:21" x14ac:dyDescent="0.2">
      <c r="A167" s="132">
        <v>2008</v>
      </c>
      <c r="B167" s="89">
        <f t="shared" ref="B167:M167" si="59">B22+B56+B90+B124</f>
        <v>378.91899999999998</v>
      </c>
      <c r="C167" s="89">
        <f t="shared" si="59"/>
        <v>283.19</v>
      </c>
      <c r="D167" s="89">
        <f t="shared" si="59"/>
        <v>289.23699999999997</v>
      </c>
      <c r="E167" s="89">
        <f t="shared" si="59"/>
        <v>108.825</v>
      </c>
      <c r="F167" s="89">
        <f t="shared" si="59"/>
        <v>68.504000000000005</v>
      </c>
      <c r="G167" s="89">
        <f t="shared" si="59"/>
        <v>30.902999999999999</v>
      </c>
      <c r="H167" s="89">
        <f t="shared" si="59"/>
        <v>19.213999999999999</v>
      </c>
      <c r="I167" s="89">
        <f t="shared" si="59"/>
        <v>25.96</v>
      </c>
      <c r="J167" s="89">
        <f t="shared" si="59"/>
        <v>18.818000000000001</v>
      </c>
      <c r="K167" s="89">
        <f t="shared" si="59"/>
        <v>442.93499999999995</v>
      </c>
      <c r="L167" s="89">
        <f t="shared" si="59"/>
        <v>895.12700000000007</v>
      </c>
      <c r="M167" s="89">
        <f t="shared" si="59"/>
        <v>827.50599999999997</v>
      </c>
      <c r="N167" s="49"/>
      <c r="O167" s="89">
        <f t="shared" si="39"/>
        <v>951.34599999999989</v>
      </c>
      <c r="P167" s="89">
        <f t="shared" si="40"/>
        <v>208.232</v>
      </c>
      <c r="Q167" s="89">
        <f t="shared" si="41"/>
        <v>63.992000000000004</v>
      </c>
      <c r="R167" s="89">
        <f t="shared" si="42"/>
        <v>2165.5679999999998</v>
      </c>
      <c r="S167" s="89">
        <f t="shared" si="43"/>
        <v>3389.1379999999999</v>
      </c>
      <c r="T167" s="47"/>
      <c r="U167" s="89">
        <f t="shared" si="44"/>
        <v>3431.2529999999997</v>
      </c>
    </row>
    <row r="168" spans="1:21" x14ac:dyDescent="0.2">
      <c r="A168" s="132">
        <v>2009</v>
      </c>
      <c r="B168" s="89">
        <f t="shared" ref="B168:M168" si="60">B23+B57+B91+B125</f>
        <v>421.68799999999999</v>
      </c>
      <c r="C168" s="89">
        <f t="shared" si="60"/>
        <v>336.06700000000006</v>
      </c>
      <c r="D168" s="89">
        <f t="shared" si="60"/>
        <v>242.08099999999999</v>
      </c>
      <c r="E168" s="89">
        <f t="shared" si="60"/>
        <v>39.010000000000005</v>
      </c>
      <c r="F168" s="89">
        <f t="shared" si="60"/>
        <v>20.498000000000001</v>
      </c>
      <c r="G168" s="89">
        <f t="shared" si="60"/>
        <v>25.184000000000001</v>
      </c>
      <c r="H168" s="89">
        <f t="shared" si="60"/>
        <v>20.757000000000001</v>
      </c>
      <c r="I168" s="89">
        <f t="shared" si="60"/>
        <v>23.725000000000001</v>
      </c>
      <c r="J168" s="89">
        <f t="shared" si="60"/>
        <v>22.806000000000001</v>
      </c>
      <c r="K168" s="89">
        <f t="shared" si="60"/>
        <v>470.43499999999995</v>
      </c>
      <c r="L168" s="89">
        <f t="shared" si="60"/>
        <v>845.16399999999999</v>
      </c>
      <c r="M168" s="89">
        <f t="shared" si="60"/>
        <v>731.505</v>
      </c>
      <c r="N168" s="49"/>
      <c r="O168" s="89">
        <f t="shared" si="39"/>
        <v>999.83600000000013</v>
      </c>
      <c r="P168" s="89">
        <f t="shared" si="40"/>
        <v>84.692000000000007</v>
      </c>
      <c r="Q168" s="89">
        <f t="shared" si="41"/>
        <v>67.287999999999997</v>
      </c>
      <c r="R168" s="89">
        <f t="shared" si="42"/>
        <v>2047.1039999999998</v>
      </c>
      <c r="S168" s="89">
        <f t="shared" si="43"/>
        <v>3198.92</v>
      </c>
      <c r="T168" s="47"/>
      <c r="U168" s="89">
        <f t="shared" si="44"/>
        <v>3317.384</v>
      </c>
    </row>
    <row r="169" spans="1:21" x14ac:dyDescent="0.2">
      <c r="A169" s="132">
        <v>2010</v>
      </c>
      <c r="B169" s="89">
        <f t="shared" ref="B169:M169" si="61">B24+B58+B92+B126</f>
        <v>551.74</v>
      </c>
      <c r="C169" s="89">
        <f t="shared" si="61"/>
        <v>297.06299999999999</v>
      </c>
      <c r="D169" s="89">
        <f t="shared" si="61"/>
        <v>232.09700000000001</v>
      </c>
      <c r="E169" s="89">
        <f t="shared" si="61"/>
        <v>119.721</v>
      </c>
      <c r="F169" s="89">
        <f t="shared" si="61"/>
        <v>34.448999999999998</v>
      </c>
      <c r="G169" s="89">
        <f t="shared" si="61"/>
        <v>23.817</v>
      </c>
      <c r="H169" s="89">
        <f t="shared" si="61"/>
        <v>20.198</v>
      </c>
      <c r="I169" s="89">
        <f t="shared" si="61"/>
        <v>29.861999999999998</v>
      </c>
      <c r="J169" s="89">
        <f t="shared" si="61"/>
        <v>31.372</v>
      </c>
      <c r="K169" s="89">
        <f t="shared" si="61"/>
        <v>657.45699999999988</v>
      </c>
      <c r="L169" s="89">
        <f t="shared" si="61"/>
        <v>858.21699999999998</v>
      </c>
      <c r="M169" s="89">
        <f t="shared" si="61"/>
        <v>807.26099999999997</v>
      </c>
      <c r="N169" s="49"/>
      <c r="O169" s="89">
        <f t="shared" si="39"/>
        <v>1080.9000000000001</v>
      </c>
      <c r="P169" s="89">
        <f t="shared" si="40"/>
        <v>177.98700000000002</v>
      </c>
      <c r="Q169" s="89">
        <f t="shared" si="41"/>
        <v>81.432000000000002</v>
      </c>
      <c r="R169" s="89">
        <f t="shared" si="42"/>
        <v>2322.9349999999999</v>
      </c>
      <c r="S169" s="89">
        <f t="shared" si="43"/>
        <v>3663.2539999999999</v>
      </c>
      <c r="T169" s="47"/>
      <c r="U169" s="89">
        <f t="shared" si="44"/>
        <v>3387.4229999999998</v>
      </c>
    </row>
    <row r="170" spans="1:21" x14ac:dyDescent="0.2">
      <c r="A170" s="132">
        <v>2011</v>
      </c>
      <c r="B170" s="89">
        <f t="shared" ref="B170:M170" si="62">B25+B59+B93+B127</f>
        <v>321.81800000000004</v>
      </c>
      <c r="C170" s="89">
        <f t="shared" si="62"/>
        <v>247.69399999999999</v>
      </c>
      <c r="D170" s="89">
        <f t="shared" si="62"/>
        <v>115.496</v>
      </c>
      <c r="E170" s="89">
        <f t="shared" si="62"/>
        <v>20.545000000000002</v>
      </c>
      <c r="F170" s="89">
        <f t="shared" si="62"/>
        <v>23.943000000000001</v>
      </c>
      <c r="G170" s="89">
        <f t="shared" si="62"/>
        <v>23.183</v>
      </c>
      <c r="H170" s="89">
        <f t="shared" si="62"/>
        <v>27.042999999999999</v>
      </c>
      <c r="I170" s="89">
        <f t="shared" si="62"/>
        <v>23.408000000000001</v>
      </c>
      <c r="J170" s="89">
        <f t="shared" si="62"/>
        <v>45.670999999999999</v>
      </c>
      <c r="K170" s="89">
        <f t="shared" si="62"/>
        <v>604.40000000000009</v>
      </c>
      <c r="L170" s="89">
        <f t="shared" si="62"/>
        <v>853.56600000000003</v>
      </c>
      <c r="M170" s="89">
        <f t="shared" si="62"/>
        <v>732.61900000000003</v>
      </c>
      <c r="N170" s="49"/>
      <c r="O170" s="89">
        <f t="shared" si="39"/>
        <v>685.00800000000004</v>
      </c>
      <c r="P170" s="89">
        <f t="shared" ref="P170:P179" si="63">SUM(E170:G170)</f>
        <v>67.670999999999992</v>
      </c>
      <c r="Q170" s="89">
        <f t="shared" si="41"/>
        <v>96.122</v>
      </c>
      <c r="R170" s="89">
        <f t="shared" si="42"/>
        <v>2190.585</v>
      </c>
      <c r="S170" s="89">
        <f>SUM(O170:R170)</f>
        <v>3039.386</v>
      </c>
      <c r="T170" s="47"/>
      <c r="U170" s="89">
        <f t="shared" si="44"/>
        <v>3171.7359999999999</v>
      </c>
    </row>
    <row r="171" spans="1:21" x14ac:dyDescent="0.2">
      <c r="A171" s="132">
        <v>2012</v>
      </c>
      <c r="B171" s="89">
        <f t="shared" ref="B171:M171" si="64">B26+B60+B94+B128</f>
        <v>421.05499999999995</v>
      </c>
      <c r="C171" s="89">
        <f t="shared" si="64"/>
        <v>351.40499999999997</v>
      </c>
      <c r="D171" s="89">
        <f t="shared" si="64"/>
        <v>356.74</v>
      </c>
      <c r="E171" s="89">
        <f t="shared" si="64"/>
        <v>100.24000000000001</v>
      </c>
      <c r="F171" s="89">
        <f t="shared" si="64"/>
        <v>19.527000000000001</v>
      </c>
      <c r="G171" s="89">
        <f t="shared" si="64"/>
        <v>16.940999999999999</v>
      </c>
      <c r="H171" s="89">
        <f t="shared" si="64"/>
        <v>30.806000000000001</v>
      </c>
      <c r="I171" s="89">
        <f t="shared" si="64"/>
        <v>23.972000000000001</v>
      </c>
      <c r="J171" s="89">
        <f t="shared" si="64"/>
        <v>77.637</v>
      </c>
      <c r="K171" s="89">
        <f t="shared" si="64"/>
        <v>661.9670000000001</v>
      </c>
      <c r="L171" s="89">
        <f t="shared" si="64"/>
        <v>945.20100000000002</v>
      </c>
      <c r="M171" s="89">
        <f t="shared" si="64"/>
        <v>924.91200000000003</v>
      </c>
      <c r="N171" s="49"/>
      <c r="O171" s="89">
        <f t="shared" si="39"/>
        <v>1129.1999999999998</v>
      </c>
      <c r="P171" s="89">
        <f t="shared" si="63"/>
        <v>136.708</v>
      </c>
      <c r="Q171" s="89">
        <f t="shared" si="41"/>
        <v>132.41500000000002</v>
      </c>
      <c r="R171" s="89">
        <f t="shared" si="42"/>
        <v>2532.08</v>
      </c>
      <c r="S171" s="89">
        <f t="shared" si="43"/>
        <v>3930.4029999999998</v>
      </c>
      <c r="T171" s="47"/>
      <c r="U171" s="89">
        <f t="shared" si="44"/>
        <v>3588.9079999999999</v>
      </c>
    </row>
    <row r="172" spans="1:21" x14ac:dyDescent="0.2">
      <c r="A172" s="132">
        <v>2013</v>
      </c>
      <c r="B172" s="89">
        <f t="shared" ref="B172:M172" si="65">B27+B61+B95+B129</f>
        <v>477.416</v>
      </c>
      <c r="C172" s="89">
        <f t="shared" si="65"/>
        <v>306.37399999999997</v>
      </c>
      <c r="D172" s="89">
        <f t="shared" si="65"/>
        <v>340.18299999999999</v>
      </c>
      <c r="E172" s="89">
        <f t="shared" si="65"/>
        <v>116.482</v>
      </c>
      <c r="F172" s="89">
        <f t="shared" si="65"/>
        <v>19.524999999999999</v>
      </c>
      <c r="G172" s="89">
        <f t="shared" si="65"/>
        <v>29.614999999999998</v>
      </c>
      <c r="H172" s="89">
        <f t="shared" si="65"/>
        <v>21.149000000000001</v>
      </c>
      <c r="I172" s="89">
        <f t="shared" si="65"/>
        <v>19.765999999999998</v>
      </c>
      <c r="J172" s="89">
        <f t="shared" si="65"/>
        <v>42.980999999999995</v>
      </c>
      <c r="K172" s="89">
        <f t="shared" si="65"/>
        <v>639.96299999999997</v>
      </c>
      <c r="L172" s="89">
        <f t="shared" si="65"/>
        <v>921.024</v>
      </c>
      <c r="M172" s="89">
        <f t="shared" si="65"/>
        <v>917.79</v>
      </c>
      <c r="N172" s="49"/>
      <c r="O172" s="89">
        <f t="shared" si="39"/>
        <v>1123.973</v>
      </c>
      <c r="P172" s="89">
        <f t="shared" si="63"/>
        <v>165.62200000000001</v>
      </c>
      <c r="Q172" s="89">
        <f t="shared" si="41"/>
        <v>83.895999999999987</v>
      </c>
      <c r="R172" s="89">
        <f t="shared" si="42"/>
        <v>2478.777</v>
      </c>
      <c r="S172" s="89">
        <f t="shared" si="43"/>
        <v>3852.268</v>
      </c>
      <c r="T172" s="47"/>
      <c r="U172" s="89">
        <f t="shared" si="44"/>
        <v>3905.5709999999999</v>
      </c>
    </row>
    <row r="173" spans="1:21" x14ac:dyDescent="0.2">
      <c r="A173" s="132">
        <v>2014</v>
      </c>
      <c r="B173" s="89">
        <f t="shared" ref="B173:M173" si="66">B28+B62+B96+B130</f>
        <v>425.34100000000001</v>
      </c>
      <c r="C173" s="89">
        <f t="shared" si="66"/>
        <v>278.24799999999999</v>
      </c>
      <c r="D173" s="89">
        <f t="shared" si="66"/>
        <v>252.85999999999999</v>
      </c>
      <c r="E173" s="89">
        <f t="shared" si="66"/>
        <v>110.438</v>
      </c>
      <c r="F173" s="89">
        <f t="shared" si="66"/>
        <v>15.75</v>
      </c>
      <c r="G173" s="89">
        <f t="shared" si="66"/>
        <v>26.757000000000001</v>
      </c>
      <c r="H173" s="89">
        <f t="shared" si="66"/>
        <v>18.904</v>
      </c>
      <c r="I173" s="89">
        <f t="shared" si="66"/>
        <v>27.712</v>
      </c>
      <c r="J173" s="89">
        <f t="shared" si="66"/>
        <v>32.68</v>
      </c>
      <c r="K173" s="89">
        <f t="shared" si="66"/>
        <v>630.26199999999994</v>
      </c>
      <c r="L173" s="89">
        <f t="shared" si="66"/>
        <v>961.06499999999994</v>
      </c>
      <c r="M173" s="89">
        <f t="shared" si="66"/>
        <v>836.298</v>
      </c>
      <c r="N173" s="49"/>
      <c r="O173" s="89">
        <f t="shared" si="39"/>
        <v>956.44899999999996</v>
      </c>
      <c r="P173" s="89">
        <f t="shared" si="63"/>
        <v>152.94499999999999</v>
      </c>
      <c r="Q173" s="89">
        <f t="shared" si="41"/>
        <v>79.295999999999992</v>
      </c>
      <c r="R173" s="89">
        <f t="shared" si="42"/>
        <v>2427.625</v>
      </c>
      <c r="S173" s="89">
        <f t="shared" si="43"/>
        <v>3616.3150000000001</v>
      </c>
      <c r="T173" s="47"/>
      <c r="U173" s="89">
        <f t="shared" si="44"/>
        <v>3667.4670000000001</v>
      </c>
    </row>
    <row r="174" spans="1:21" x14ac:dyDescent="0.2">
      <c r="A174" s="132">
        <v>2015</v>
      </c>
      <c r="B174" s="89">
        <f t="shared" ref="B174:M174" si="67">B29+B63+B97+B131</f>
        <v>405.97199999999998</v>
      </c>
      <c r="C174" s="89">
        <f t="shared" si="67"/>
        <v>324.89400000000001</v>
      </c>
      <c r="D174" s="89">
        <f t="shared" si="67"/>
        <v>334.76900000000001</v>
      </c>
      <c r="E174" s="89">
        <f t="shared" si="67"/>
        <v>120.93299999999999</v>
      </c>
      <c r="F174" s="89">
        <f t="shared" si="67"/>
        <v>29.308</v>
      </c>
      <c r="G174" s="89">
        <f t="shared" si="67"/>
        <v>43.067999999999998</v>
      </c>
      <c r="H174" s="89">
        <f t="shared" si="67"/>
        <v>29.399000000000001</v>
      </c>
      <c r="I174" s="89">
        <f t="shared" si="67"/>
        <v>25.443999999999999</v>
      </c>
      <c r="J174" s="89">
        <f t="shared" si="67"/>
        <v>21.391999999999999</v>
      </c>
      <c r="K174" s="89">
        <f t="shared" si="67"/>
        <v>665.55100000000004</v>
      </c>
      <c r="L174" s="89">
        <f t="shared" si="67"/>
        <v>861.18600000000004</v>
      </c>
      <c r="M174" s="89">
        <f t="shared" si="67"/>
        <v>760.19899999999996</v>
      </c>
      <c r="N174" s="49"/>
      <c r="O174" s="89">
        <f t="shared" si="39"/>
        <v>1065.635</v>
      </c>
      <c r="P174" s="89">
        <f t="shared" si="63"/>
        <v>193.30899999999997</v>
      </c>
      <c r="Q174" s="89">
        <f t="shared" si="41"/>
        <v>76.234999999999999</v>
      </c>
      <c r="R174" s="89">
        <f t="shared" si="42"/>
        <v>2286.9360000000001</v>
      </c>
      <c r="S174" s="89">
        <f t="shared" si="43"/>
        <v>3622.1149999999998</v>
      </c>
      <c r="T174" s="47"/>
      <c r="U174" s="89">
        <f t="shared" si="44"/>
        <v>3762.8040000000001</v>
      </c>
    </row>
    <row r="175" spans="1:21" x14ac:dyDescent="0.2">
      <c r="A175" s="132">
        <v>2016</v>
      </c>
      <c r="B175" s="89">
        <f t="shared" ref="B175:M175" si="68">B30+B64+B98+B132</f>
        <v>296.988</v>
      </c>
      <c r="C175" s="89">
        <f t="shared" si="68"/>
        <v>294.76</v>
      </c>
      <c r="D175" s="89">
        <f t="shared" si="68"/>
        <v>391.18499999999995</v>
      </c>
      <c r="E175" s="89">
        <f t="shared" si="68"/>
        <v>329.25</v>
      </c>
      <c r="F175" s="89">
        <f t="shared" si="68"/>
        <v>176.54599999999999</v>
      </c>
      <c r="G175" s="89">
        <f t="shared" si="68"/>
        <v>16.861999999999998</v>
      </c>
      <c r="H175" s="89">
        <f t="shared" si="68"/>
        <v>19.844999999999999</v>
      </c>
      <c r="I175" s="89">
        <f t="shared" si="68"/>
        <v>19.155000000000001</v>
      </c>
      <c r="J175" s="89">
        <f t="shared" si="68"/>
        <v>38.237000000000002</v>
      </c>
      <c r="K175" s="89">
        <f>K30+K64+K98+K132</f>
        <v>759.28300000000002</v>
      </c>
      <c r="L175" s="89">
        <f t="shared" si="68"/>
        <v>967.07400000000007</v>
      </c>
      <c r="M175" s="89">
        <f t="shared" si="68"/>
        <v>838.20099999999991</v>
      </c>
      <c r="N175" s="49"/>
      <c r="O175" s="89">
        <f t="shared" si="39"/>
        <v>982.93299999999999</v>
      </c>
      <c r="P175" s="89">
        <f t="shared" si="63"/>
        <v>522.65800000000002</v>
      </c>
      <c r="Q175" s="89">
        <f t="shared" si="41"/>
        <v>77.236999999999995</v>
      </c>
      <c r="R175" s="89">
        <f t="shared" si="42"/>
        <v>2564.558</v>
      </c>
      <c r="S175" s="89">
        <f t="shared" si="43"/>
        <v>4147.3860000000004</v>
      </c>
      <c r="T175" s="47"/>
      <c r="U175" s="89">
        <f t="shared" si="44"/>
        <v>3869.7640000000001</v>
      </c>
    </row>
    <row r="176" spans="1:21" x14ac:dyDescent="0.2">
      <c r="A176" s="132">
        <v>2017</v>
      </c>
      <c r="B176" s="89">
        <f t="shared" ref="B176:M176" si="69">B31+B65+B99+B133</f>
        <v>412.93799999999999</v>
      </c>
      <c r="C176" s="89">
        <f t="shared" si="69"/>
        <v>342.62100000000004</v>
      </c>
      <c r="D176" s="89">
        <f t="shared" si="69"/>
        <v>343.21</v>
      </c>
      <c r="E176" s="89">
        <f t="shared" si="69"/>
        <v>132.935</v>
      </c>
      <c r="F176" s="89">
        <f t="shared" si="69"/>
        <v>35.465000000000003</v>
      </c>
      <c r="G176" s="89">
        <f t="shared" si="69"/>
        <v>0</v>
      </c>
      <c r="H176" s="89">
        <f t="shared" si="69"/>
        <v>0</v>
      </c>
      <c r="I176" s="89">
        <f t="shared" si="69"/>
        <v>0</v>
      </c>
      <c r="J176" s="89">
        <f>J31+J65+J99+J133</f>
        <v>34.917999999999999</v>
      </c>
      <c r="K176" s="89">
        <f>K31+K65+K99+K133</f>
        <v>658.58900000000006</v>
      </c>
      <c r="L176" s="89">
        <f>L31+L65+L99+L133</f>
        <v>923.50400000000013</v>
      </c>
      <c r="M176" s="89">
        <f t="shared" si="69"/>
        <v>926.10799999999995</v>
      </c>
      <c r="N176" s="49"/>
      <c r="O176" s="89">
        <f t="shared" si="39"/>
        <v>1098.769</v>
      </c>
      <c r="P176" s="89">
        <f t="shared" si="63"/>
        <v>168.4</v>
      </c>
      <c r="Q176" s="89">
        <f t="shared" si="41"/>
        <v>34.917999999999999</v>
      </c>
      <c r="R176" s="89">
        <f t="shared" si="42"/>
        <v>2508.201</v>
      </c>
      <c r="S176" s="89">
        <f t="shared" si="43"/>
        <v>3810.288</v>
      </c>
      <c r="T176" s="47"/>
      <c r="U176" s="89">
        <f t="shared" si="44"/>
        <v>3866.645</v>
      </c>
    </row>
    <row r="177" spans="1:21" x14ac:dyDescent="0.2">
      <c r="A177" s="132">
        <v>2018</v>
      </c>
      <c r="B177" s="89">
        <f t="shared" ref="B177:I177" si="70">B32+B66+B100</f>
        <v>492.41499999999996</v>
      </c>
      <c r="C177" s="89">
        <f t="shared" si="70"/>
        <v>348.12399999999997</v>
      </c>
      <c r="D177" s="89">
        <f t="shared" si="70"/>
        <v>390.863</v>
      </c>
      <c r="E177" s="89">
        <f t="shared" si="70"/>
        <v>168.34</v>
      </c>
      <c r="F177" s="89">
        <f t="shared" si="70"/>
        <v>73.861999999999995</v>
      </c>
      <c r="G177" s="89">
        <f t="shared" si="70"/>
        <v>0</v>
      </c>
      <c r="H177" s="89">
        <f t="shared" si="70"/>
        <v>0</v>
      </c>
      <c r="I177" s="89">
        <f t="shared" si="70"/>
        <v>-5.5E-2</v>
      </c>
      <c r="J177" s="89">
        <f>J32+J66+J100</f>
        <v>31.916</v>
      </c>
      <c r="K177" s="89">
        <f>K32+K66+K100</f>
        <v>727.63799999999992</v>
      </c>
      <c r="L177" s="89">
        <f>L32+L66+L100</f>
        <v>921.27599999999995</v>
      </c>
      <c r="M177" s="89">
        <f>M32+M66+M100</f>
        <v>919.41899999999998</v>
      </c>
      <c r="N177" s="49"/>
      <c r="O177" s="89">
        <f t="shared" ref="O177:O181" si="71">SUM(B177:D177)</f>
        <v>1231.402</v>
      </c>
      <c r="P177" s="89">
        <f t="shared" si="63"/>
        <v>242.202</v>
      </c>
      <c r="Q177" s="89">
        <f t="shared" si="41"/>
        <v>31.861000000000001</v>
      </c>
      <c r="R177" s="89">
        <f t="shared" si="42"/>
        <v>2568.3329999999996</v>
      </c>
      <c r="S177" s="89">
        <f t="shared" si="43"/>
        <v>4073.7979999999998</v>
      </c>
      <c r="T177" s="47"/>
      <c r="U177" s="89">
        <f t="shared" si="44"/>
        <v>4013.6660000000002</v>
      </c>
    </row>
    <row r="178" spans="1:21" x14ac:dyDescent="0.2">
      <c r="A178" s="132">
        <v>2019</v>
      </c>
      <c r="B178" s="89">
        <f t="shared" ref="B178:M178" si="72">B33+B67+B101</f>
        <v>503.827</v>
      </c>
      <c r="C178" s="89">
        <f t="shared" si="72"/>
        <v>305.53100000000001</v>
      </c>
      <c r="D178" s="89">
        <f t="shared" si="72"/>
        <v>331.09899999999999</v>
      </c>
      <c r="E178" s="89">
        <f t="shared" si="72"/>
        <v>213.762</v>
      </c>
      <c r="F178" s="89">
        <f t="shared" si="72"/>
        <v>74.271999999999991</v>
      </c>
      <c r="G178" s="89">
        <f t="shared" si="72"/>
        <v>0</v>
      </c>
      <c r="H178" s="89">
        <f t="shared" si="72"/>
        <v>0</v>
      </c>
      <c r="I178" s="89">
        <f t="shared" si="72"/>
        <v>0</v>
      </c>
      <c r="J178" s="89">
        <f t="shared" si="72"/>
        <v>62.953000000000003</v>
      </c>
      <c r="K178" s="89">
        <f t="shared" si="72"/>
        <v>711.39199999999994</v>
      </c>
      <c r="L178" s="89">
        <f t="shared" si="72"/>
        <v>889.41500000000008</v>
      </c>
      <c r="M178" s="89">
        <f t="shared" si="72"/>
        <v>768.51499999999999</v>
      </c>
      <c r="N178" s="49"/>
      <c r="O178" s="89">
        <f t="shared" si="71"/>
        <v>1140.4569999999999</v>
      </c>
      <c r="P178" s="89">
        <f t="shared" si="63"/>
        <v>288.03399999999999</v>
      </c>
      <c r="Q178" s="89">
        <f t="shared" si="41"/>
        <v>62.953000000000003</v>
      </c>
      <c r="R178" s="89">
        <f t="shared" si="42"/>
        <v>2369.3220000000001</v>
      </c>
      <c r="S178" s="89">
        <f t="shared" si="43"/>
        <v>3860.7660000000001</v>
      </c>
      <c r="T178" s="47"/>
      <c r="U178" s="89">
        <f t="shared" si="44"/>
        <v>4059.7769999999996</v>
      </c>
    </row>
    <row r="179" spans="1:21" x14ac:dyDescent="0.2">
      <c r="A179" s="132">
        <v>2020</v>
      </c>
      <c r="B179" s="89">
        <f t="shared" ref="B179:M179" si="73">B34+B68+B102</f>
        <v>387.41099999999994</v>
      </c>
      <c r="C179" s="89">
        <f t="shared" si="73"/>
        <v>320.01099999999997</v>
      </c>
      <c r="D179" s="89">
        <f t="shared" si="73"/>
        <v>380.85500000000002</v>
      </c>
      <c r="E179" s="89">
        <f t="shared" si="73"/>
        <v>174.327</v>
      </c>
      <c r="F179" s="89">
        <f t="shared" si="73"/>
        <v>95.37</v>
      </c>
      <c r="G179" s="89">
        <f t="shared" si="73"/>
        <v>0</v>
      </c>
      <c r="H179" s="89">
        <f t="shared" si="73"/>
        <v>0</v>
      </c>
      <c r="I179" s="89">
        <f t="shared" si="73"/>
        <v>0</v>
      </c>
      <c r="J179" s="89">
        <f t="shared" si="73"/>
        <v>70.415000000000006</v>
      </c>
      <c r="K179" s="89">
        <f t="shared" si="73"/>
        <v>623.76220000000001</v>
      </c>
      <c r="L179" s="89">
        <f t="shared" si="73"/>
        <v>828.23090000000002</v>
      </c>
      <c r="M179" s="89">
        <f t="shared" si="73"/>
        <v>902.65734999999995</v>
      </c>
      <c r="N179" s="49"/>
      <c r="O179" s="89">
        <f t="shared" si="71"/>
        <v>1088.277</v>
      </c>
      <c r="P179" s="89">
        <f t="shared" si="63"/>
        <v>269.697</v>
      </c>
      <c r="Q179" s="89">
        <f t="shared" si="41"/>
        <v>70.415000000000006</v>
      </c>
      <c r="R179" s="89">
        <f t="shared" si="42"/>
        <v>2354.6504500000001</v>
      </c>
      <c r="S179" s="89">
        <f t="shared" si="43"/>
        <v>3783.0394500000002</v>
      </c>
      <c r="T179" s="47"/>
      <c r="U179" s="89">
        <f t="shared" si="44"/>
        <v>3797.7110000000002</v>
      </c>
    </row>
    <row r="180" spans="1:21" x14ac:dyDescent="0.2">
      <c r="A180" s="132">
        <v>2021</v>
      </c>
      <c r="B180" s="89">
        <f t="shared" ref="B180:M180" si="74">B35+B69+B103</f>
        <v>624.48270000000002</v>
      </c>
      <c r="C180" s="89">
        <f t="shared" si="74"/>
        <v>327.15610000000004</v>
      </c>
      <c r="D180" s="89">
        <f t="shared" si="74"/>
        <v>326.23</v>
      </c>
      <c r="E180" s="89">
        <f t="shared" si="74"/>
        <v>242.922</v>
      </c>
      <c r="F180" s="89">
        <f t="shared" si="74"/>
        <v>251.339</v>
      </c>
      <c r="G180" s="89">
        <f t="shared" si="74"/>
        <v>2.4279999999999999</v>
      </c>
      <c r="H180" s="89">
        <f t="shared" si="74"/>
        <v>0</v>
      </c>
      <c r="I180" s="89">
        <f t="shared" si="74"/>
        <v>0</v>
      </c>
      <c r="J180" s="89">
        <f t="shared" si="74"/>
        <v>12.266</v>
      </c>
      <c r="K180" s="89">
        <f t="shared" si="74"/>
        <v>531.45500000000004</v>
      </c>
      <c r="L180" s="89">
        <f t="shared" si="74"/>
        <v>906.17</v>
      </c>
      <c r="M180" s="89">
        <f t="shared" si="74"/>
        <v>959.33400000000006</v>
      </c>
      <c r="N180" s="49"/>
      <c r="O180" s="89">
        <f t="shared" si="71"/>
        <v>1277.8688000000002</v>
      </c>
      <c r="P180" s="89">
        <f>SUM(E180:G180)</f>
        <v>496.68899999999996</v>
      </c>
      <c r="Q180" s="89">
        <f t="shared" si="41"/>
        <v>12.266</v>
      </c>
      <c r="R180" s="89">
        <f>SUM(K180:M180)</f>
        <v>2396.9589999999998</v>
      </c>
      <c r="S180" s="89">
        <f>SUM(O180:R180)</f>
        <v>4183.7828</v>
      </c>
      <c r="T180" s="124"/>
      <c r="U180" s="89">
        <f t="shared" si="44"/>
        <v>4141.4742500000002</v>
      </c>
    </row>
    <row r="181" spans="1:21" x14ac:dyDescent="0.2">
      <c r="A181" s="132">
        <v>2022</v>
      </c>
      <c r="B181" s="89">
        <f t="shared" ref="B181:M181" si="75">B36+B70+B104</f>
        <v>571.45500000000004</v>
      </c>
      <c r="C181" s="89">
        <f t="shared" si="75"/>
        <v>325.05099999999999</v>
      </c>
      <c r="D181" s="89">
        <f t="shared" si="75"/>
        <v>366.34999999999997</v>
      </c>
      <c r="E181" s="89">
        <f t="shared" si="75"/>
        <v>161.33799999999999</v>
      </c>
      <c r="F181" s="89">
        <f t="shared" si="75"/>
        <v>97.7</v>
      </c>
      <c r="G181" s="89">
        <f t="shared" si="75"/>
        <v>7.944</v>
      </c>
      <c r="H181" s="89">
        <f t="shared" si="75"/>
        <v>0</v>
      </c>
      <c r="I181" s="89">
        <f t="shared" si="75"/>
        <v>0</v>
      </c>
      <c r="J181" s="89">
        <f t="shared" si="75"/>
        <v>75.067999999999998</v>
      </c>
      <c r="K181" s="89">
        <f t="shared" si="75"/>
        <v>680.25</v>
      </c>
      <c r="L181" s="89">
        <f t="shared" si="75"/>
        <v>854.61</v>
      </c>
      <c r="M181" s="124">
        <f t="shared" si="75"/>
        <v>958.99699999999996</v>
      </c>
      <c r="N181" s="49"/>
      <c r="O181" s="89">
        <f t="shared" si="71"/>
        <v>1262.856</v>
      </c>
      <c r="P181" s="89">
        <f>SUM(E181:G181)</f>
        <v>266.98200000000003</v>
      </c>
      <c r="Q181" s="89">
        <f t="shared" si="41"/>
        <v>75.067999999999998</v>
      </c>
      <c r="R181" s="89">
        <f>SUM(K181:M181)</f>
        <v>2493.857</v>
      </c>
      <c r="S181" s="89">
        <f>SUM(O181:R181)</f>
        <v>4098.7629999999999</v>
      </c>
      <c r="T181" s="49"/>
      <c r="U181" s="89">
        <f t="shared" si="44"/>
        <v>4001.8649999999998</v>
      </c>
    </row>
    <row r="182" spans="1:21" x14ac:dyDescent="0.2">
      <c r="A182" s="132">
        <v>2023</v>
      </c>
      <c r="B182" s="89">
        <f t="shared" ref="B182:M183" si="76">B37+B71+B105</f>
        <v>545.68600000000004</v>
      </c>
      <c r="C182" s="124">
        <f t="shared" si="76"/>
        <v>308.46999999999997</v>
      </c>
      <c r="D182" s="89">
        <f t="shared" si="76"/>
        <v>341.83800000000002</v>
      </c>
      <c r="E182" s="124">
        <f t="shared" si="76"/>
        <v>211.29400000000001</v>
      </c>
      <c r="F182" s="89">
        <f t="shared" si="76"/>
        <v>134.16499999999999</v>
      </c>
      <c r="G182" s="89">
        <f t="shared" si="76"/>
        <v>22.116</v>
      </c>
      <c r="H182" s="89">
        <f t="shared" si="76"/>
        <v>0</v>
      </c>
      <c r="I182" s="89">
        <f t="shared" si="76"/>
        <v>0</v>
      </c>
      <c r="J182" s="89">
        <f t="shared" si="76"/>
        <v>5.6230000000000002</v>
      </c>
      <c r="K182" s="89">
        <f t="shared" si="76"/>
        <v>628.46199999999999</v>
      </c>
      <c r="L182" s="89">
        <f t="shared" si="76"/>
        <v>881.84</v>
      </c>
      <c r="M182" s="124">
        <f t="shared" si="76"/>
        <v>946.971</v>
      </c>
      <c r="N182" s="49"/>
      <c r="O182" s="89">
        <f t="shared" ref="O182:O183" si="77">SUM(B182:D182)</f>
        <v>1195.9939999999999</v>
      </c>
      <c r="P182" s="89">
        <f>SUM(E182:G182)</f>
        <v>367.57499999999999</v>
      </c>
      <c r="Q182" s="89">
        <f t="shared" ref="Q182:Q183" si="78">SUM(H182:J182)</f>
        <v>5.6230000000000002</v>
      </c>
      <c r="R182" s="89">
        <f>SUM(K182:M182)</f>
        <v>2457.2730000000001</v>
      </c>
      <c r="S182" s="89">
        <f>SUM(O182:R182)</f>
        <v>4026.4650000000001</v>
      </c>
      <c r="T182" s="49"/>
      <c r="U182" s="89">
        <f t="shared" si="44"/>
        <v>4063.049</v>
      </c>
    </row>
    <row r="183" spans="1:21" x14ac:dyDescent="0.2">
      <c r="A183" s="132">
        <v>2024</v>
      </c>
      <c r="B183" s="89">
        <f>B38+B72+B106</f>
        <v>458.06</v>
      </c>
      <c r="C183" s="124">
        <f t="shared" si="76"/>
        <v>313.07299999999998</v>
      </c>
      <c r="D183" s="89">
        <f t="shared" si="76"/>
        <v>311.96699999999998</v>
      </c>
      <c r="E183" s="124">
        <f t="shared" si="76"/>
        <v>289.03100000000001</v>
      </c>
      <c r="F183" s="89">
        <f t="shared" si="76"/>
        <v>174.14400000000001</v>
      </c>
      <c r="G183" s="89">
        <f t="shared" si="76"/>
        <v>11.689</v>
      </c>
      <c r="H183" s="89">
        <f t="shared" si="76"/>
        <v>0</v>
      </c>
      <c r="I183" s="89">
        <f t="shared" si="76"/>
        <v>0</v>
      </c>
      <c r="J183" s="89">
        <f>J38+J72+J106</f>
        <v>117.28</v>
      </c>
      <c r="K183" s="89">
        <f t="shared" si="76"/>
        <v>731.3119999999999</v>
      </c>
      <c r="L183" s="89">
        <f t="shared" si="76"/>
        <v>935.92399999999998</v>
      </c>
      <c r="M183" s="124" t="s">
        <v>152</v>
      </c>
      <c r="N183" s="49"/>
      <c r="O183" s="89">
        <f t="shared" si="77"/>
        <v>1083.0999999999999</v>
      </c>
      <c r="P183" s="89">
        <f>SUM(E183:G183)</f>
        <v>474.86400000000003</v>
      </c>
      <c r="Q183" s="89">
        <f t="shared" si="78"/>
        <v>117.28</v>
      </c>
      <c r="R183" s="124" t="s">
        <v>152</v>
      </c>
      <c r="S183" s="124" t="s">
        <v>152</v>
      </c>
      <c r="T183" s="49"/>
      <c r="U183" s="89">
        <f t="shared" si="44"/>
        <v>4132.5169999999998</v>
      </c>
    </row>
    <row r="184" spans="1:21" x14ac:dyDescent="0.2">
      <c r="A184" s="207" t="s">
        <v>336</v>
      </c>
      <c r="B184" s="53"/>
      <c r="C184" s="53"/>
      <c r="D184" s="53"/>
      <c r="E184" s="53"/>
      <c r="F184" s="53"/>
      <c r="G184" s="53"/>
      <c r="H184" s="217"/>
      <c r="I184" s="53"/>
      <c r="J184" s="53"/>
      <c r="K184" s="53"/>
      <c r="L184" s="217"/>
      <c r="M184" s="217"/>
      <c r="N184" s="218"/>
      <c r="O184" s="53"/>
      <c r="P184" s="53"/>
      <c r="Q184" s="53"/>
      <c r="R184" s="53"/>
      <c r="S184" s="34"/>
      <c r="T184" s="48"/>
      <c r="U184" s="89"/>
    </row>
    <row r="185" spans="1:21" x14ac:dyDescent="0.2">
      <c r="A185" s="33">
        <v>1992</v>
      </c>
      <c r="B185" s="89">
        <v>477.4</v>
      </c>
      <c r="C185" s="89">
        <v>331.6</v>
      </c>
      <c r="D185" s="89">
        <v>201</v>
      </c>
      <c r="E185" s="89">
        <v>188.9</v>
      </c>
      <c r="F185" s="89">
        <v>164</v>
      </c>
      <c r="G185" s="89">
        <v>110.9</v>
      </c>
      <c r="H185" s="89">
        <v>101.3</v>
      </c>
      <c r="I185" s="89">
        <v>68.947000000000003</v>
      </c>
      <c r="J185" s="89">
        <v>325.49400000000003</v>
      </c>
      <c r="K185" s="89">
        <v>698.00800000000004</v>
      </c>
      <c r="L185" s="89">
        <v>747.57600000000002</v>
      </c>
      <c r="M185" s="89">
        <v>717.92200000000003</v>
      </c>
      <c r="N185" s="49"/>
      <c r="O185" s="89">
        <f t="shared" ref="O185:O213" si="79">SUM(B185:D185)</f>
        <v>1010</v>
      </c>
      <c r="P185" s="89">
        <f t="shared" ref="P185:P207" si="80">SUM(E185:G185)</f>
        <v>463.79999999999995</v>
      </c>
      <c r="Q185" s="89">
        <f t="shared" ref="Q185:Q215" si="81">SUM(H185:J185)</f>
        <v>495.74100000000004</v>
      </c>
      <c r="R185" s="89">
        <f t="shared" ref="R185:R212" si="82">SUM(K185:M185)</f>
        <v>2163.5060000000003</v>
      </c>
      <c r="S185" s="89">
        <f t="shared" ref="S185:S213" si="83">SUM(O185:R185)</f>
        <v>4133.0470000000005</v>
      </c>
      <c r="T185" s="49"/>
      <c r="U185" s="89">
        <v>3845</v>
      </c>
    </row>
    <row r="186" spans="1:21" x14ac:dyDescent="0.2">
      <c r="A186" s="33">
        <v>1993</v>
      </c>
      <c r="B186" s="89">
        <v>569.45100000000002</v>
      </c>
      <c r="C186" s="89">
        <v>351.64</v>
      </c>
      <c r="D186" s="89">
        <v>316.69</v>
      </c>
      <c r="E186" s="89">
        <v>210.50200000000001</v>
      </c>
      <c r="F186" s="89">
        <v>177.95699999999999</v>
      </c>
      <c r="G186" s="89">
        <v>138.17699999999999</v>
      </c>
      <c r="H186" s="89">
        <v>110.658</v>
      </c>
      <c r="I186" s="89">
        <v>113.986</v>
      </c>
      <c r="J186" s="89">
        <v>239.33199999999999</v>
      </c>
      <c r="K186" s="89">
        <v>646.13099999999997</v>
      </c>
      <c r="L186" s="89">
        <v>679.66499999999996</v>
      </c>
      <c r="M186" s="89">
        <v>695.19</v>
      </c>
      <c r="N186" s="49"/>
      <c r="O186" s="89">
        <f t="shared" si="79"/>
        <v>1237.7809999999999</v>
      </c>
      <c r="P186" s="89">
        <f t="shared" si="80"/>
        <v>526.63599999999997</v>
      </c>
      <c r="Q186" s="89">
        <f t="shared" si="81"/>
        <v>463.976</v>
      </c>
      <c r="R186" s="89">
        <f t="shared" si="82"/>
        <v>2020.9859999999999</v>
      </c>
      <c r="S186" s="89">
        <f t="shared" si="83"/>
        <v>4249.3789999999999</v>
      </c>
      <c r="T186" s="49"/>
      <c r="U186" s="89">
        <f>R185+O186+P186+Q186</f>
        <v>4391.8990000000003</v>
      </c>
    </row>
    <row r="187" spans="1:21" x14ac:dyDescent="0.2">
      <c r="A187" s="33">
        <v>1994</v>
      </c>
      <c r="B187" s="89">
        <v>548.35799999999995</v>
      </c>
      <c r="C187" s="89">
        <v>313.87200000000001</v>
      </c>
      <c r="D187" s="89">
        <v>246.255</v>
      </c>
      <c r="E187" s="89">
        <v>166.36</v>
      </c>
      <c r="F187" s="89">
        <v>110.825</v>
      </c>
      <c r="G187" s="89">
        <v>86.221999999999994</v>
      </c>
      <c r="H187" s="89">
        <v>108.017</v>
      </c>
      <c r="I187" s="89">
        <v>124.6</v>
      </c>
      <c r="J187" s="89">
        <v>364.61</v>
      </c>
      <c r="K187" s="89">
        <v>694.35500000000002</v>
      </c>
      <c r="L187" s="89">
        <v>704.31</v>
      </c>
      <c r="M187" s="89">
        <v>715.87300000000005</v>
      </c>
      <c r="N187" s="49"/>
      <c r="O187" s="89">
        <f t="shared" si="79"/>
        <v>1108.4850000000001</v>
      </c>
      <c r="P187" s="89">
        <f t="shared" si="80"/>
        <v>363.40699999999998</v>
      </c>
      <c r="Q187" s="89">
        <f t="shared" si="81"/>
        <v>597.22699999999998</v>
      </c>
      <c r="R187" s="89">
        <f t="shared" si="82"/>
        <v>2114.538</v>
      </c>
      <c r="S187" s="89">
        <f t="shared" si="83"/>
        <v>4183.6570000000002</v>
      </c>
      <c r="T187" s="49"/>
      <c r="U187" s="89">
        <f>R186+O187+P187+Q187</f>
        <v>4090.105</v>
      </c>
    </row>
    <row r="188" spans="1:21" x14ac:dyDescent="0.2">
      <c r="A188" s="35">
        <v>1995</v>
      </c>
      <c r="B188" s="89">
        <v>593.60799999999995</v>
      </c>
      <c r="C188" s="89">
        <v>329.44600000000003</v>
      </c>
      <c r="D188" s="89">
        <v>281.10599999999999</v>
      </c>
      <c r="E188" s="89">
        <v>289.97000000000003</v>
      </c>
      <c r="F188" s="89">
        <v>237.399</v>
      </c>
      <c r="G188" s="89">
        <v>151.78299999999999</v>
      </c>
      <c r="H188" s="89">
        <v>114.015</v>
      </c>
      <c r="I188" s="89">
        <v>101.501</v>
      </c>
      <c r="J188" s="89">
        <v>280.15100000000001</v>
      </c>
      <c r="K188" s="89">
        <v>648.93600000000004</v>
      </c>
      <c r="L188" s="89">
        <v>674.56899999999996</v>
      </c>
      <c r="M188" s="89">
        <v>664.65</v>
      </c>
      <c r="N188" s="49"/>
      <c r="O188" s="89">
        <f t="shared" si="79"/>
        <v>1204.1599999999999</v>
      </c>
      <c r="P188" s="89">
        <f t="shared" si="80"/>
        <v>679.15200000000004</v>
      </c>
      <c r="Q188" s="89">
        <f t="shared" si="81"/>
        <v>495.66700000000003</v>
      </c>
      <c r="R188" s="89">
        <f t="shared" si="82"/>
        <v>1988.1550000000002</v>
      </c>
      <c r="S188" s="89">
        <f t="shared" si="83"/>
        <v>4367.134</v>
      </c>
      <c r="T188" s="49"/>
      <c r="U188" s="89">
        <v>4494</v>
      </c>
    </row>
    <row r="189" spans="1:21" x14ac:dyDescent="0.2">
      <c r="A189" s="35">
        <v>1996</v>
      </c>
      <c r="B189" s="89">
        <v>469.43700000000001</v>
      </c>
      <c r="C189" s="89">
        <v>294.83199999999999</v>
      </c>
      <c r="D189" s="89">
        <v>245.298</v>
      </c>
      <c r="E189" s="89">
        <v>253.239</v>
      </c>
      <c r="F189" s="89">
        <v>164.11799999999999</v>
      </c>
      <c r="G189" s="89">
        <v>104.256</v>
      </c>
      <c r="H189" s="89">
        <v>65.525999999999996</v>
      </c>
      <c r="I189" s="89">
        <v>79.406999999999996</v>
      </c>
      <c r="J189" s="89">
        <v>251.709</v>
      </c>
      <c r="K189" s="89">
        <v>626.02</v>
      </c>
      <c r="L189" s="89">
        <v>668.91499999999996</v>
      </c>
      <c r="M189" s="89">
        <v>685.91099999999994</v>
      </c>
      <c r="N189" s="49"/>
      <c r="O189" s="89">
        <f t="shared" si="79"/>
        <v>1009.567</v>
      </c>
      <c r="P189" s="89">
        <f t="shared" si="80"/>
        <v>521.61299999999994</v>
      </c>
      <c r="Q189" s="89">
        <f t="shared" si="81"/>
        <v>396.642</v>
      </c>
      <c r="R189" s="89">
        <f t="shared" si="82"/>
        <v>1980.846</v>
      </c>
      <c r="S189" s="89">
        <f t="shared" si="83"/>
        <v>3908.6679999999997</v>
      </c>
      <c r="T189" s="49"/>
      <c r="U189" s="89">
        <f>R188+O189+P189+Q189</f>
        <v>3915.9769999999999</v>
      </c>
    </row>
    <row r="190" spans="1:21" x14ac:dyDescent="0.2">
      <c r="A190" s="35">
        <v>1997</v>
      </c>
      <c r="B190" s="89">
        <v>473.64800000000002</v>
      </c>
      <c r="C190" s="89">
        <v>279.137</v>
      </c>
      <c r="D190" s="89">
        <v>329.18</v>
      </c>
      <c r="E190" s="89">
        <v>284.988</v>
      </c>
      <c r="F190" s="89">
        <v>162.27600000000001</v>
      </c>
      <c r="G190" s="89">
        <v>97.933999999999997</v>
      </c>
      <c r="H190" s="89">
        <v>100.928</v>
      </c>
      <c r="I190" s="89">
        <v>80.929000000000002</v>
      </c>
      <c r="J190" s="89">
        <v>223.524</v>
      </c>
      <c r="K190" s="89">
        <v>637.92700000000002</v>
      </c>
      <c r="L190" s="89">
        <v>652.01400000000001</v>
      </c>
      <c r="M190" s="89">
        <v>654.81600000000003</v>
      </c>
      <c r="N190" s="49"/>
      <c r="O190" s="89">
        <f t="shared" si="79"/>
        <v>1081.9650000000001</v>
      </c>
      <c r="P190" s="89">
        <f t="shared" si="80"/>
        <v>545.19799999999998</v>
      </c>
      <c r="Q190" s="89">
        <f t="shared" si="81"/>
        <v>405.38099999999997</v>
      </c>
      <c r="R190" s="89">
        <f t="shared" si="82"/>
        <v>1944.7570000000001</v>
      </c>
      <c r="S190" s="89">
        <f t="shared" si="83"/>
        <v>3977.3009999999999</v>
      </c>
      <c r="T190" s="49"/>
      <c r="U190" s="89">
        <f>R189+O190+P190+Q190</f>
        <v>4013.39</v>
      </c>
    </row>
    <row r="191" spans="1:21" x14ac:dyDescent="0.2">
      <c r="A191" s="35">
        <v>1998</v>
      </c>
      <c r="B191" s="89">
        <v>558.73800000000006</v>
      </c>
      <c r="C191" s="89">
        <v>410.55399999999997</v>
      </c>
      <c r="D191" s="89">
        <v>282.57</v>
      </c>
      <c r="E191" s="89">
        <v>280.87299999999999</v>
      </c>
      <c r="F191" s="89">
        <v>205.904</v>
      </c>
      <c r="G191" s="89">
        <v>131.62</v>
      </c>
      <c r="H191" s="89">
        <v>102.77500000000001</v>
      </c>
      <c r="I191" s="89">
        <v>130.642</v>
      </c>
      <c r="J191" s="89">
        <v>340.80799999999999</v>
      </c>
      <c r="K191" s="89">
        <v>624.76300000000003</v>
      </c>
      <c r="L191" s="89">
        <v>652.96500000000003</v>
      </c>
      <c r="M191" s="89">
        <v>605</v>
      </c>
      <c r="N191" s="49"/>
      <c r="O191" s="89">
        <f t="shared" si="79"/>
        <v>1251.8620000000001</v>
      </c>
      <c r="P191" s="89">
        <f t="shared" si="80"/>
        <v>618.39699999999993</v>
      </c>
      <c r="Q191" s="89">
        <f t="shared" si="81"/>
        <v>574.22500000000002</v>
      </c>
      <c r="R191" s="89">
        <f t="shared" si="82"/>
        <v>1882.7280000000001</v>
      </c>
      <c r="S191" s="89">
        <f t="shared" si="83"/>
        <v>4327.2119999999995</v>
      </c>
      <c r="T191" s="49"/>
      <c r="U191" s="89">
        <f>R190+O191+P191+Q191</f>
        <v>4389.241</v>
      </c>
    </row>
    <row r="192" spans="1:21" x14ac:dyDescent="0.2">
      <c r="A192" s="35">
        <v>1999</v>
      </c>
      <c r="B192" s="89">
        <v>546.63900000000001</v>
      </c>
      <c r="C192" s="89">
        <v>399.13799999999998</v>
      </c>
      <c r="D192" s="89">
        <v>307.93299999999999</v>
      </c>
      <c r="E192" s="89">
        <v>317.66500000000002</v>
      </c>
      <c r="F192" s="89">
        <v>300.75200000000001</v>
      </c>
      <c r="G192" s="89">
        <v>122.937</v>
      </c>
      <c r="H192" s="89">
        <v>73.450999999999993</v>
      </c>
      <c r="I192" s="89">
        <v>118.274</v>
      </c>
      <c r="J192" s="89">
        <v>352.33199999999999</v>
      </c>
      <c r="K192" s="89">
        <v>709.34500000000003</v>
      </c>
      <c r="L192" s="89">
        <v>721.63800000000003</v>
      </c>
      <c r="M192" s="89">
        <v>702.60400000000004</v>
      </c>
      <c r="N192" s="49"/>
      <c r="O192" s="89">
        <f t="shared" si="79"/>
        <v>1253.71</v>
      </c>
      <c r="P192" s="89">
        <f t="shared" si="80"/>
        <v>741.35400000000004</v>
      </c>
      <c r="Q192" s="89">
        <f t="shared" si="81"/>
        <v>544.05700000000002</v>
      </c>
      <c r="R192" s="89">
        <f t="shared" si="82"/>
        <v>2133.5870000000004</v>
      </c>
      <c r="S192" s="89">
        <f t="shared" si="83"/>
        <v>4672.7080000000005</v>
      </c>
      <c r="T192" s="49"/>
      <c r="U192" s="89">
        <f t="shared" ref="U192:U204" si="84">SUM(O192:Q192)+R191</f>
        <v>4421.8490000000002</v>
      </c>
    </row>
    <row r="193" spans="1:22" x14ac:dyDescent="0.2">
      <c r="A193" s="33">
        <v>2000</v>
      </c>
      <c r="B193" s="89">
        <v>662.22500000000002</v>
      </c>
      <c r="C193" s="89">
        <v>458.05</v>
      </c>
      <c r="D193" s="89">
        <v>370.23200000000003</v>
      </c>
      <c r="E193" s="89">
        <v>299.476</v>
      </c>
      <c r="F193" s="89">
        <v>280.20999999999998</v>
      </c>
      <c r="G193" s="89">
        <v>154.39500000000001</v>
      </c>
      <c r="H193" s="89">
        <v>109.989</v>
      </c>
      <c r="I193" s="89">
        <v>131.053</v>
      </c>
      <c r="J193" s="89">
        <v>378.68599999999998</v>
      </c>
      <c r="K193" s="89">
        <v>666.822</v>
      </c>
      <c r="L193" s="89">
        <v>687.08600000000001</v>
      </c>
      <c r="M193" s="89">
        <v>727.31299999999999</v>
      </c>
      <c r="N193" s="49"/>
      <c r="O193" s="89">
        <f t="shared" si="79"/>
        <v>1490.5070000000001</v>
      </c>
      <c r="P193" s="89">
        <f t="shared" si="80"/>
        <v>734.0809999999999</v>
      </c>
      <c r="Q193" s="89">
        <f t="shared" si="81"/>
        <v>619.72799999999995</v>
      </c>
      <c r="R193" s="89">
        <f>SUM(K193:M193)</f>
        <v>2081.221</v>
      </c>
      <c r="S193" s="89">
        <f t="shared" si="83"/>
        <v>4925.5370000000003</v>
      </c>
      <c r="T193" s="49"/>
      <c r="U193" s="89">
        <f t="shared" si="84"/>
        <v>4977.9030000000002</v>
      </c>
    </row>
    <row r="194" spans="1:22" x14ac:dyDescent="0.2">
      <c r="A194" s="132">
        <v>2001</v>
      </c>
      <c r="B194" s="89">
        <v>618.88</v>
      </c>
      <c r="C194" s="89">
        <v>448.15699999999998</v>
      </c>
      <c r="D194" s="89">
        <v>362.75099999999998</v>
      </c>
      <c r="E194" s="89">
        <v>298.399</v>
      </c>
      <c r="F194" s="89">
        <v>237.136</v>
      </c>
      <c r="G194" s="89">
        <v>133.655</v>
      </c>
      <c r="H194" s="89">
        <v>89.944999999999993</v>
      </c>
      <c r="I194" s="89">
        <v>116.848</v>
      </c>
      <c r="J194" s="89">
        <v>292.62400000000002</v>
      </c>
      <c r="K194" s="89">
        <v>635.14099999999996</v>
      </c>
      <c r="L194" s="89">
        <v>680.92</v>
      </c>
      <c r="M194" s="89">
        <v>655.01599999999996</v>
      </c>
      <c r="N194" s="49"/>
      <c r="O194" s="89">
        <f t="shared" si="79"/>
        <v>1429.788</v>
      </c>
      <c r="P194" s="89">
        <f t="shared" si="80"/>
        <v>669.18999999999994</v>
      </c>
      <c r="Q194" s="89">
        <f t="shared" si="81"/>
        <v>499.41700000000003</v>
      </c>
      <c r="R194" s="89">
        <f t="shared" si="82"/>
        <v>1971.0769999999998</v>
      </c>
      <c r="S194" s="89">
        <f t="shared" si="83"/>
        <v>4569.4719999999998</v>
      </c>
      <c r="T194" s="49"/>
      <c r="U194" s="89">
        <f>SUM(O194:Q194)+R193</f>
        <v>4679.616</v>
      </c>
      <c r="V194" s="211"/>
    </row>
    <row r="195" spans="1:22" x14ac:dyDescent="0.2">
      <c r="A195" s="110">
        <v>2002</v>
      </c>
      <c r="B195" s="89">
        <v>540.75599999999997</v>
      </c>
      <c r="C195" s="89">
        <v>396.358</v>
      </c>
      <c r="D195" s="89">
        <v>290.69200000000001</v>
      </c>
      <c r="E195" s="89">
        <v>225.006</v>
      </c>
      <c r="F195" s="89">
        <v>97.203000000000003</v>
      </c>
      <c r="G195" s="89">
        <v>56.401000000000003</v>
      </c>
      <c r="H195" s="89">
        <v>68.688999999999993</v>
      </c>
      <c r="I195" s="89">
        <v>79.835999999999999</v>
      </c>
      <c r="J195" s="89">
        <v>189.43700000000001</v>
      </c>
      <c r="K195" s="89">
        <v>617.31600000000003</v>
      </c>
      <c r="L195" s="89">
        <v>687.13599999999997</v>
      </c>
      <c r="M195" s="89">
        <v>655.21799999999996</v>
      </c>
      <c r="N195" s="49"/>
      <c r="O195" s="89">
        <f t="shared" si="79"/>
        <v>1227.806</v>
      </c>
      <c r="P195" s="89">
        <f t="shared" si="80"/>
        <v>378.61</v>
      </c>
      <c r="Q195" s="89">
        <f t="shared" si="81"/>
        <v>337.96199999999999</v>
      </c>
      <c r="R195" s="89">
        <f t="shared" si="82"/>
        <v>1959.67</v>
      </c>
      <c r="S195" s="89">
        <f t="shared" si="83"/>
        <v>3904.0480000000002</v>
      </c>
      <c r="T195" s="49"/>
      <c r="U195" s="89">
        <f t="shared" si="84"/>
        <v>3915.4549999999999</v>
      </c>
    </row>
    <row r="196" spans="1:22" x14ac:dyDescent="0.2">
      <c r="A196" s="110">
        <v>2003</v>
      </c>
      <c r="B196" s="89">
        <v>547.73500000000001</v>
      </c>
      <c r="C196" s="89">
        <v>396.65499999999997</v>
      </c>
      <c r="D196" s="89">
        <v>282.90899999999999</v>
      </c>
      <c r="E196" s="89">
        <v>268.459</v>
      </c>
      <c r="F196" s="89">
        <v>234.27099999999999</v>
      </c>
      <c r="G196" s="89">
        <v>136.95099999999999</v>
      </c>
      <c r="H196" s="89">
        <v>85.055999999999997</v>
      </c>
      <c r="I196" s="89">
        <v>118.867</v>
      </c>
      <c r="J196" s="89">
        <v>431.76100000000002</v>
      </c>
      <c r="K196" s="89">
        <v>773.56600000000003</v>
      </c>
      <c r="L196" s="89">
        <v>722.78099999999995</v>
      </c>
      <c r="M196" s="89">
        <v>751.52099999999996</v>
      </c>
      <c r="N196" s="49"/>
      <c r="O196" s="89">
        <f t="shared" si="79"/>
        <v>1227.299</v>
      </c>
      <c r="P196" s="89">
        <f t="shared" si="80"/>
        <v>639.68100000000004</v>
      </c>
      <c r="Q196" s="89">
        <f t="shared" si="81"/>
        <v>635.68399999999997</v>
      </c>
      <c r="R196" s="89">
        <f t="shared" si="82"/>
        <v>2247.8679999999999</v>
      </c>
      <c r="S196" s="89">
        <f t="shared" si="83"/>
        <v>4750.5319999999992</v>
      </c>
      <c r="T196" s="49"/>
      <c r="U196" s="89">
        <f t="shared" si="84"/>
        <v>4462.3339999999998</v>
      </c>
    </row>
    <row r="197" spans="1:22" x14ac:dyDescent="0.2">
      <c r="A197" s="110">
        <v>2004</v>
      </c>
      <c r="B197" s="89">
        <v>679.71</v>
      </c>
      <c r="C197" s="89">
        <v>490.995</v>
      </c>
      <c r="D197" s="89">
        <v>340.39400000000001</v>
      </c>
      <c r="E197" s="89">
        <v>282.81700000000001</v>
      </c>
      <c r="F197" s="89">
        <v>224.25200000000001</v>
      </c>
      <c r="G197" s="89">
        <v>71.004999999999995</v>
      </c>
      <c r="H197" s="89">
        <v>63.311999999999998</v>
      </c>
      <c r="I197" s="89">
        <v>79.786000000000001</v>
      </c>
      <c r="J197" s="89">
        <v>212.239</v>
      </c>
      <c r="K197" s="89">
        <v>716.774</v>
      </c>
      <c r="L197" s="89">
        <v>770.73500000000001</v>
      </c>
      <c r="M197" s="89">
        <v>741.25</v>
      </c>
      <c r="N197" s="49"/>
      <c r="O197" s="89">
        <f t="shared" si="79"/>
        <v>1511.0989999999999</v>
      </c>
      <c r="P197" s="89">
        <f t="shared" si="80"/>
        <v>578.07400000000007</v>
      </c>
      <c r="Q197" s="89">
        <f t="shared" si="81"/>
        <v>355.33699999999999</v>
      </c>
      <c r="R197" s="89">
        <f t="shared" si="82"/>
        <v>2228.759</v>
      </c>
      <c r="S197" s="89">
        <f t="shared" si="83"/>
        <v>4673.2690000000002</v>
      </c>
      <c r="T197" s="49"/>
      <c r="U197" s="89">
        <f t="shared" si="84"/>
        <v>4692.3779999999997</v>
      </c>
    </row>
    <row r="198" spans="1:22" x14ac:dyDescent="0.2">
      <c r="A198" s="110">
        <v>2005</v>
      </c>
      <c r="B198" s="89">
        <v>659.83299999999997</v>
      </c>
      <c r="C198" s="89">
        <v>435.95499999999998</v>
      </c>
      <c r="D198" s="89">
        <v>367.30599999999998</v>
      </c>
      <c r="E198" s="89">
        <v>272.697</v>
      </c>
      <c r="F198" s="89">
        <v>201.114</v>
      </c>
      <c r="G198" s="89">
        <v>69.688000000000002</v>
      </c>
      <c r="H198" s="89">
        <v>67.838999999999999</v>
      </c>
      <c r="I198" s="89">
        <v>60.738</v>
      </c>
      <c r="J198" s="89">
        <v>246.84200000000001</v>
      </c>
      <c r="K198" s="89">
        <v>657.05799999999999</v>
      </c>
      <c r="L198" s="89">
        <v>699.16300000000001</v>
      </c>
      <c r="M198" s="89">
        <v>686.64400000000001</v>
      </c>
      <c r="N198" s="49"/>
      <c r="O198" s="89">
        <f t="shared" si="79"/>
        <v>1463.0940000000001</v>
      </c>
      <c r="P198" s="89">
        <f t="shared" si="80"/>
        <v>543.49900000000002</v>
      </c>
      <c r="Q198" s="89">
        <f t="shared" si="81"/>
        <v>375.41899999999998</v>
      </c>
      <c r="R198" s="89">
        <f t="shared" si="82"/>
        <v>2042.865</v>
      </c>
      <c r="S198" s="89">
        <f t="shared" si="83"/>
        <v>4424.8770000000004</v>
      </c>
      <c r="T198" s="49"/>
      <c r="U198" s="89">
        <f t="shared" si="84"/>
        <v>4610.7710000000006</v>
      </c>
    </row>
    <row r="199" spans="1:22" x14ac:dyDescent="0.2">
      <c r="A199" s="110">
        <v>2006</v>
      </c>
      <c r="B199" s="89">
        <v>618.05499999999995</v>
      </c>
      <c r="C199" s="89">
        <v>455.21300000000002</v>
      </c>
      <c r="D199" s="89">
        <v>363.91300000000001</v>
      </c>
      <c r="E199" s="89">
        <v>244.273</v>
      </c>
      <c r="F199" s="89">
        <v>87.38</v>
      </c>
      <c r="G199" s="89">
        <v>77.722999999999999</v>
      </c>
      <c r="H199" s="89">
        <v>51.511000000000003</v>
      </c>
      <c r="I199" s="89">
        <v>111.685</v>
      </c>
      <c r="J199" s="89">
        <v>390.95699999999999</v>
      </c>
      <c r="K199" s="89">
        <v>743.995</v>
      </c>
      <c r="L199" s="89">
        <v>718.22</v>
      </c>
      <c r="M199" s="89">
        <v>736.65700000000004</v>
      </c>
      <c r="N199" s="49"/>
      <c r="O199" s="89">
        <f t="shared" si="79"/>
        <v>1437.181</v>
      </c>
      <c r="P199" s="89">
        <f t="shared" si="80"/>
        <v>409.37600000000003</v>
      </c>
      <c r="Q199" s="89">
        <f t="shared" si="81"/>
        <v>554.15300000000002</v>
      </c>
      <c r="R199" s="89">
        <f t="shared" si="82"/>
        <v>2198.8720000000003</v>
      </c>
      <c r="S199" s="89">
        <f t="shared" si="83"/>
        <v>4599.5820000000003</v>
      </c>
      <c r="T199" s="49"/>
      <c r="U199" s="89">
        <f t="shared" si="84"/>
        <v>4443.5749999999998</v>
      </c>
    </row>
    <row r="200" spans="1:22" x14ac:dyDescent="0.2">
      <c r="A200" s="110">
        <v>2007</v>
      </c>
      <c r="B200" s="89">
        <v>663.46199999999999</v>
      </c>
      <c r="C200" s="89">
        <f>491.84+36.705</f>
        <v>528.54499999999996</v>
      </c>
      <c r="D200" s="89">
        <v>433.84100000000001</v>
      </c>
      <c r="E200" s="89">
        <v>300.48500000000001</v>
      </c>
      <c r="F200" s="89">
        <v>280.31900000000002</v>
      </c>
      <c r="G200" s="89">
        <v>81.39</v>
      </c>
      <c r="H200" s="89">
        <v>72.828999999999994</v>
      </c>
      <c r="I200" s="89">
        <v>106.419</v>
      </c>
      <c r="J200" s="89">
        <v>341.6</v>
      </c>
      <c r="K200" s="89">
        <v>685.61500000000001</v>
      </c>
      <c r="L200" s="89">
        <v>708.68799999999999</v>
      </c>
      <c r="M200" s="89">
        <v>710.63900000000001</v>
      </c>
      <c r="N200" s="49"/>
      <c r="O200" s="89">
        <f t="shared" si="79"/>
        <v>1625.848</v>
      </c>
      <c r="P200" s="89">
        <f t="shared" si="80"/>
        <v>662.19400000000007</v>
      </c>
      <c r="Q200" s="89">
        <f t="shared" si="81"/>
        <v>520.84799999999996</v>
      </c>
      <c r="R200" s="89">
        <f t="shared" si="82"/>
        <v>2104.942</v>
      </c>
      <c r="S200" s="89">
        <f t="shared" si="83"/>
        <v>4913.8320000000003</v>
      </c>
      <c r="T200" s="49"/>
      <c r="U200" s="89">
        <f t="shared" si="84"/>
        <v>5007.7620000000006</v>
      </c>
    </row>
    <row r="201" spans="1:22" x14ac:dyDescent="0.2">
      <c r="A201" s="110">
        <v>2008</v>
      </c>
      <c r="B201" s="89">
        <v>661.58600000000001</v>
      </c>
      <c r="C201" s="89">
        <v>522.28700000000003</v>
      </c>
      <c r="D201" s="89">
        <v>423.77499999999998</v>
      </c>
      <c r="E201" s="89">
        <v>337.47300000000001</v>
      </c>
      <c r="F201" s="89">
        <v>216.52600000000001</v>
      </c>
      <c r="G201" s="89">
        <v>82.986999999999995</v>
      </c>
      <c r="H201" s="89">
        <v>82.213999999999999</v>
      </c>
      <c r="I201" s="89">
        <v>72.614000000000004</v>
      </c>
      <c r="J201" s="89">
        <v>216.499</v>
      </c>
      <c r="K201" s="89">
        <v>598.375</v>
      </c>
      <c r="L201" s="89">
        <v>694.65800000000002</v>
      </c>
      <c r="M201" s="89">
        <v>649.17700000000002</v>
      </c>
      <c r="N201" s="49"/>
      <c r="O201" s="89">
        <f t="shared" si="79"/>
        <v>1607.6480000000001</v>
      </c>
      <c r="P201" s="89">
        <f t="shared" si="80"/>
        <v>636.98599999999999</v>
      </c>
      <c r="Q201" s="89">
        <f t="shared" si="81"/>
        <v>371.327</v>
      </c>
      <c r="R201" s="89">
        <f t="shared" si="82"/>
        <v>1942.21</v>
      </c>
      <c r="S201" s="89">
        <f t="shared" si="83"/>
        <v>4558.1710000000003</v>
      </c>
      <c r="T201" s="49"/>
      <c r="U201" s="89">
        <f t="shared" si="84"/>
        <v>4720.9030000000002</v>
      </c>
    </row>
    <row r="202" spans="1:22" x14ac:dyDescent="0.2">
      <c r="A202" s="110">
        <v>2009</v>
      </c>
      <c r="B202" s="89">
        <v>573.63599999999997</v>
      </c>
      <c r="C202" s="89">
        <v>433.70400000000001</v>
      </c>
      <c r="D202" s="89">
        <v>339.44900000000001</v>
      </c>
      <c r="E202" s="89">
        <v>260.30700000000002</v>
      </c>
      <c r="F202" s="89">
        <v>163.96799999999999</v>
      </c>
      <c r="G202" s="89">
        <v>53.676000000000002</v>
      </c>
      <c r="H202" s="89">
        <v>50.987000000000002</v>
      </c>
      <c r="I202" s="89">
        <v>52.222000000000001</v>
      </c>
      <c r="J202" s="89">
        <v>343.38299999999998</v>
      </c>
      <c r="K202" s="89">
        <v>721.90499999999997</v>
      </c>
      <c r="L202" s="89">
        <v>671.83199999999999</v>
      </c>
      <c r="M202" s="89">
        <v>673.50800000000004</v>
      </c>
      <c r="N202" s="49"/>
      <c r="O202" s="89">
        <f t="shared" si="79"/>
        <v>1346.789</v>
      </c>
      <c r="P202" s="89">
        <f t="shared" si="80"/>
        <v>477.95099999999996</v>
      </c>
      <c r="Q202" s="89">
        <f t="shared" si="81"/>
        <v>446.59199999999998</v>
      </c>
      <c r="R202" s="89">
        <f t="shared" si="82"/>
        <v>2067.2449999999999</v>
      </c>
      <c r="S202" s="89">
        <f t="shared" si="83"/>
        <v>4338.5769999999993</v>
      </c>
      <c r="T202" s="49"/>
      <c r="U202" s="89">
        <f t="shared" si="84"/>
        <v>4213.5419999999995</v>
      </c>
    </row>
    <row r="203" spans="1:22" x14ac:dyDescent="0.2">
      <c r="A203" s="110">
        <v>2010</v>
      </c>
      <c r="B203" s="89">
        <v>576.95100000000002</v>
      </c>
      <c r="C203" s="89">
        <v>430.06799999999998</v>
      </c>
      <c r="D203" s="89">
        <v>376.11900000000003</v>
      </c>
      <c r="E203" s="89">
        <v>288.20400000000001</v>
      </c>
      <c r="F203" s="89">
        <v>105.718</v>
      </c>
      <c r="G203" s="89">
        <v>54.92</v>
      </c>
      <c r="H203" s="89">
        <v>53.213999999999999</v>
      </c>
      <c r="I203" s="89">
        <v>161.422</v>
      </c>
      <c r="J203" s="89">
        <v>461.35399999999998</v>
      </c>
      <c r="K203" s="89">
        <v>765.47799999999995</v>
      </c>
      <c r="L203" s="89">
        <v>749.89300000000003</v>
      </c>
      <c r="M203" s="89">
        <v>734.95100000000002</v>
      </c>
      <c r="N203" s="49"/>
      <c r="O203" s="89">
        <f t="shared" si="79"/>
        <v>1383.1379999999999</v>
      </c>
      <c r="P203" s="89">
        <f t="shared" si="80"/>
        <v>448.84200000000004</v>
      </c>
      <c r="Q203" s="89">
        <f t="shared" si="81"/>
        <v>675.99</v>
      </c>
      <c r="R203" s="89">
        <f t="shared" si="82"/>
        <v>2250.3220000000001</v>
      </c>
      <c r="S203" s="89">
        <f t="shared" si="83"/>
        <v>4758.2920000000004</v>
      </c>
      <c r="T203" s="49"/>
      <c r="U203" s="89">
        <f>SUM(O203:Q203)+R202</f>
        <v>4575.2150000000001</v>
      </c>
    </row>
    <row r="204" spans="1:22" x14ac:dyDescent="0.2">
      <c r="A204" s="110">
        <v>2011</v>
      </c>
      <c r="B204" s="89">
        <v>676.13699999999994</v>
      </c>
      <c r="C204" s="89">
        <v>479.745</v>
      </c>
      <c r="D204" s="89">
        <v>405.05</v>
      </c>
      <c r="E204" s="89">
        <v>320.69600000000003</v>
      </c>
      <c r="F204" s="89">
        <v>112.81100000000001</v>
      </c>
      <c r="G204" s="89">
        <v>62.631999999999998</v>
      </c>
      <c r="H204" s="89">
        <v>57.305</v>
      </c>
      <c r="I204" s="89">
        <v>71.069000000000003</v>
      </c>
      <c r="J204" s="89">
        <v>223.18</v>
      </c>
      <c r="K204" s="89">
        <v>672.59500000000003</v>
      </c>
      <c r="L204" s="89">
        <v>729.673</v>
      </c>
      <c r="M204" s="89">
        <v>750.12900000000002</v>
      </c>
      <c r="N204" s="49"/>
      <c r="O204" s="89">
        <f t="shared" si="79"/>
        <v>1560.932</v>
      </c>
      <c r="P204" s="89">
        <f t="shared" si="80"/>
        <v>496.13900000000007</v>
      </c>
      <c r="Q204" s="89">
        <f t="shared" si="81"/>
        <v>351.55399999999997</v>
      </c>
      <c r="R204" s="89">
        <f t="shared" si="82"/>
        <v>2152.3969999999999</v>
      </c>
      <c r="S204" s="89">
        <f t="shared" si="83"/>
        <v>4561.0219999999999</v>
      </c>
      <c r="T204" s="49"/>
      <c r="U204" s="89">
        <f t="shared" si="84"/>
        <v>4658.9470000000001</v>
      </c>
    </row>
    <row r="205" spans="1:22" x14ac:dyDescent="0.2">
      <c r="A205" s="132">
        <v>2012</v>
      </c>
      <c r="B205" s="89">
        <v>701.76099999999997</v>
      </c>
      <c r="C205" s="89">
        <v>564.07899999999995</v>
      </c>
      <c r="D205" s="89">
        <v>372.77</v>
      </c>
      <c r="E205" s="89">
        <v>227.63399999999999</v>
      </c>
      <c r="F205" s="89">
        <v>68.036000000000001</v>
      </c>
      <c r="G205" s="89">
        <v>58.527000000000001</v>
      </c>
      <c r="H205" s="89">
        <v>47.292999999999999</v>
      </c>
      <c r="I205" s="89">
        <v>178.619</v>
      </c>
      <c r="J205" s="89">
        <v>523.99400000000003</v>
      </c>
      <c r="K205" s="89">
        <v>807.00300000000004</v>
      </c>
      <c r="L205" s="89">
        <v>767.01199999999994</v>
      </c>
      <c r="M205" s="89">
        <v>753.72699999999998</v>
      </c>
      <c r="N205" s="49"/>
      <c r="O205" s="89">
        <f t="shared" si="79"/>
        <v>1638.61</v>
      </c>
      <c r="P205" s="89">
        <f t="shared" si="80"/>
        <v>354.19699999999995</v>
      </c>
      <c r="Q205" s="89">
        <f>SUM(H205:J205)</f>
        <v>749.90600000000006</v>
      </c>
      <c r="R205" s="89">
        <f>SUM(K205:M205)</f>
        <v>2327.7419999999997</v>
      </c>
      <c r="S205" s="89">
        <f t="shared" si="83"/>
        <v>5070.4549999999999</v>
      </c>
      <c r="T205" s="49"/>
      <c r="U205" s="89">
        <f t="shared" ref="U205:U211" si="85">SUM(O205:Q205)+R204</f>
        <v>4895.1099999999997</v>
      </c>
    </row>
    <row r="206" spans="1:22" x14ac:dyDescent="0.2">
      <c r="A206" s="132">
        <v>2013</v>
      </c>
      <c r="B206" s="89">
        <v>693.74400000000003</v>
      </c>
      <c r="C206" s="89">
        <v>514.58900000000006</v>
      </c>
      <c r="D206" s="89">
        <v>520.40099999999995</v>
      </c>
      <c r="E206" s="89">
        <v>395.05200000000002</v>
      </c>
      <c r="F206" s="89">
        <v>190.60400000000001</v>
      </c>
      <c r="G206" s="89">
        <v>75.676000000000002</v>
      </c>
      <c r="H206" s="89">
        <v>42.896999999999998</v>
      </c>
      <c r="I206" s="89">
        <v>45.582999999999998</v>
      </c>
      <c r="J206" s="89">
        <v>269.81099999999998</v>
      </c>
      <c r="K206" s="89">
        <v>685.81100000000004</v>
      </c>
      <c r="L206" s="89">
        <v>726.28399999999999</v>
      </c>
      <c r="M206" s="89">
        <v>720.41300000000001</v>
      </c>
      <c r="N206" s="49"/>
      <c r="O206" s="89">
        <f t="shared" si="79"/>
        <v>1728.7339999999999</v>
      </c>
      <c r="P206" s="89">
        <f t="shared" si="80"/>
        <v>661.33200000000011</v>
      </c>
      <c r="Q206" s="89">
        <f t="shared" si="81"/>
        <v>358.29099999999994</v>
      </c>
      <c r="R206" s="89">
        <f t="shared" si="82"/>
        <v>2132.5079999999998</v>
      </c>
      <c r="S206" s="89">
        <f t="shared" si="83"/>
        <v>4880.8649999999998</v>
      </c>
      <c r="T206" s="49"/>
      <c r="U206" s="89">
        <f t="shared" si="85"/>
        <v>5076.0990000000002</v>
      </c>
    </row>
    <row r="207" spans="1:22" x14ac:dyDescent="0.2">
      <c r="A207" s="132">
        <v>2014</v>
      </c>
      <c r="B207" s="89">
        <v>583.75900000000001</v>
      </c>
      <c r="C207" s="89">
        <v>480.72699999999998</v>
      </c>
      <c r="D207" s="89">
        <v>440.45600000000002</v>
      </c>
      <c r="E207" s="89">
        <v>317.25099999999998</v>
      </c>
      <c r="F207" s="89">
        <v>244.114</v>
      </c>
      <c r="G207" s="89">
        <v>77.906999999999996</v>
      </c>
      <c r="H207" s="89">
        <v>56.228000000000002</v>
      </c>
      <c r="I207" s="89">
        <v>62.024000000000001</v>
      </c>
      <c r="J207" s="89">
        <v>399.291</v>
      </c>
      <c r="K207" s="89">
        <v>763.99900000000002</v>
      </c>
      <c r="L207" s="89">
        <v>763.29</v>
      </c>
      <c r="M207" s="89">
        <v>706.39700000000005</v>
      </c>
      <c r="N207" s="49"/>
      <c r="O207" s="89">
        <f t="shared" si="79"/>
        <v>1504.942</v>
      </c>
      <c r="P207" s="89">
        <f t="shared" si="80"/>
        <v>639.27200000000005</v>
      </c>
      <c r="Q207" s="89">
        <f t="shared" si="81"/>
        <v>517.54300000000001</v>
      </c>
      <c r="R207" s="89">
        <f t="shared" si="82"/>
        <v>2233.6860000000001</v>
      </c>
      <c r="S207" s="89">
        <f t="shared" si="83"/>
        <v>4895.4430000000002</v>
      </c>
      <c r="T207" s="49"/>
      <c r="U207" s="89">
        <f t="shared" si="85"/>
        <v>4794.2649999999994</v>
      </c>
    </row>
    <row r="208" spans="1:22" x14ac:dyDescent="0.2">
      <c r="A208" s="132">
        <v>2015</v>
      </c>
      <c r="B208" s="89">
        <v>636.61800000000005</v>
      </c>
      <c r="C208" s="89">
        <v>492.964</v>
      </c>
      <c r="D208" s="89">
        <v>420.50799999999998</v>
      </c>
      <c r="E208" s="89">
        <v>252.02199999999999</v>
      </c>
      <c r="F208" s="89">
        <v>49.274999999999999</v>
      </c>
      <c r="G208" s="89">
        <v>70.009</v>
      </c>
      <c r="H208" s="89">
        <v>50.15</v>
      </c>
      <c r="I208" s="89">
        <v>175.392</v>
      </c>
      <c r="J208" s="89">
        <v>512.68399999999997</v>
      </c>
      <c r="K208" s="89">
        <v>797.66700000000003</v>
      </c>
      <c r="L208" s="89">
        <v>722.65800000000002</v>
      </c>
      <c r="M208" s="89">
        <v>698.15899999999999</v>
      </c>
      <c r="N208" s="49"/>
      <c r="O208" s="89">
        <f t="shared" si="79"/>
        <v>1550.0900000000001</v>
      </c>
      <c r="P208" s="89">
        <f t="shared" ref="P208:P215" si="86">SUM(E208:G208)</f>
        <v>371.30599999999998</v>
      </c>
      <c r="Q208" s="89">
        <f t="shared" si="81"/>
        <v>738.226</v>
      </c>
      <c r="R208" s="89">
        <f t="shared" si="82"/>
        <v>2218.4839999999999</v>
      </c>
      <c r="S208" s="89">
        <f t="shared" si="83"/>
        <v>4878.1059999999998</v>
      </c>
      <c r="T208" s="49"/>
      <c r="U208" s="89">
        <f t="shared" si="85"/>
        <v>4893.3080000000009</v>
      </c>
    </row>
    <row r="209" spans="1:21" x14ac:dyDescent="0.2">
      <c r="A209" s="132">
        <v>2016</v>
      </c>
      <c r="B209" s="89">
        <v>640.51400000000001</v>
      </c>
      <c r="C209" s="89">
        <v>550.351</v>
      </c>
      <c r="D209" s="89">
        <v>498.27100000000002</v>
      </c>
      <c r="E209" s="89">
        <v>362.274</v>
      </c>
      <c r="F209" s="89">
        <v>135.38800000000001</v>
      </c>
      <c r="G209" s="89">
        <v>56.093000000000004</v>
      </c>
      <c r="H209" s="89">
        <v>51.325000000000003</v>
      </c>
      <c r="I209" s="89">
        <v>147.57900000000001</v>
      </c>
      <c r="J209" s="89">
        <v>458.83699999999999</v>
      </c>
      <c r="K209" s="89">
        <v>721.76300000000003</v>
      </c>
      <c r="L209" s="89">
        <v>690.92899999999997</v>
      </c>
      <c r="M209" s="89">
        <v>676.29</v>
      </c>
      <c r="N209" s="49"/>
      <c r="O209" s="89">
        <f t="shared" si="79"/>
        <v>1689.136</v>
      </c>
      <c r="P209" s="89">
        <f t="shared" si="86"/>
        <v>553.755</v>
      </c>
      <c r="Q209" s="89">
        <f t="shared" si="81"/>
        <v>657.74099999999999</v>
      </c>
      <c r="R209" s="89">
        <f t="shared" si="82"/>
        <v>2088.982</v>
      </c>
      <c r="S209" s="89">
        <f t="shared" si="83"/>
        <v>4989.6139999999996</v>
      </c>
      <c r="T209" s="49"/>
      <c r="U209" s="89">
        <f t="shared" si="85"/>
        <v>5119.116</v>
      </c>
    </row>
    <row r="210" spans="1:21" x14ac:dyDescent="0.2">
      <c r="A210" s="132">
        <v>2017</v>
      </c>
      <c r="B210" s="89">
        <v>594.1</v>
      </c>
      <c r="C210" s="89">
        <v>535.48699999999997</v>
      </c>
      <c r="D210" s="89">
        <v>475.69200000000001</v>
      </c>
      <c r="E210" s="89">
        <v>384.72699999999998</v>
      </c>
      <c r="F210" s="89">
        <v>189.31</v>
      </c>
      <c r="G210" s="89">
        <v>69.010999999999996</v>
      </c>
      <c r="H210" s="89">
        <v>50.988</v>
      </c>
      <c r="I210" s="89">
        <v>172.78299999999999</v>
      </c>
      <c r="J210" s="89">
        <v>541.87199999999996</v>
      </c>
      <c r="K210" s="89">
        <v>756.07100000000003</v>
      </c>
      <c r="L210" s="89">
        <v>724.93499999999995</v>
      </c>
      <c r="M210" s="89">
        <v>703.36300000000006</v>
      </c>
      <c r="N210" s="49"/>
      <c r="O210" s="89">
        <f t="shared" si="79"/>
        <v>1605.279</v>
      </c>
      <c r="P210" s="89">
        <f t="shared" si="86"/>
        <v>643.048</v>
      </c>
      <c r="Q210" s="89">
        <f t="shared" si="81"/>
        <v>765.64299999999992</v>
      </c>
      <c r="R210" s="89">
        <f t="shared" si="82"/>
        <v>2184.3689999999997</v>
      </c>
      <c r="S210" s="89">
        <f t="shared" si="83"/>
        <v>5198.3389999999999</v>
      </c>
      <c r="T210" s="49"/>
      <c r="U210" s="89">
        <f t="shared" si="85"/>
        <v>5102.9520000000002</v>
      </c>
    </row>
    <row r="211" spans="1:21" x14ac:dyDescent="0.2">
      <c r="A211" s="132">
        <v>2018</v>
      </c>
      <c r="B211" s="89">
        <v>652.51499999999999</v>
      </c>
      <c r="C211" s="89">
        <v>507.42</v>
      </c>
      <c r="D211" s="89">
        <v>462.20100000000002</v>
      </c>
      <c r="E211" s="89">
        <v>363.19799999999998</v>
      </c>
      <c r="F211" s="89">
        <v>278.30399999999997</v>
      </c>
      <c r="G211" s="89">
        <v>88.858999999999995</v>
      </c>
      <c r="H211" s="89">
        <v>86.700999999999993</v>
      </c>
      <c r="I211" s="89">
        <v>144.26900000000001</v>
      </c>
      <c r="J211" s="89">
        <v>510.99599999999998</v>
      </c>
      <c r="K211" s="89">
        <v>754.44</v>
      </c>
      <c r="L211" s="89">
        <v>751.81399999999996</v>
      </c>
      <c r="M211" s="89">
        <v>721.35699999999997</v>
      </c>
      <c r="N211" s="49"/>
      <c r="O211" s="89">
        <f t="shared" si="79"/>
        <v>1622.136</v>
      </c>
      <c r="P211" s="89">
        <f t="shared" si="86"/>
        <v>730.36099999999999</v>
      </c>
      <c r="Q211" s="89">
        <f t="shared" si="81"/>
        <v>741.96600000000001</v>
      </c>
      <c r="R211" s="89">
        <f t="shared" si="82"/>
        <v>2227.6109999999999</v>
      </c>
      <c r="S211" s="89">
        <f t="shared" si="83"/>
        <v>5322.0739999999996</v>
      </c>
      <c r="T211" s="49"/>
      <c r="U211" s="89">
        <f t="shared" si="85"/>
        <v>5278.8319999999994</v>
      </c>
    </row>
    <row r="212" spans="1:21" x14ac:dyDescent="0.2">
      <c r="A212" s="132">
        <v>2019</v>
      </c>
      <c r="B212" s="89">
        <v>671.90800000000002</v>
      </c>
      <c r="C212" s="89">
        <v>468.34699999999998</v>
      </c>
      <c r="D212" s="89">
        <v>420.13</v>
      </c>
      <c r="E212" s="89">
        <v>289.24200000000002</v>
      </c>
      <c r="F212" s="89">
        <v>161.071</v>
      </c>
      <c r="G212" s="89">
        <v>71.144000000000005</v>
      </c>
      <c r="H212" s="89">
        <v>47.3</v>
      </c>
      <c r="I212" s="89">
        <v>144.06800000000001</v>
      </c>
      <c r="J212" s="89">
        <v>437.99200000000002</v>
      </c>
      <c r="K212" s="89">
        <v>683.50300000000004</v>
      </c>
      <c r="L212" s="89">
        <v>641.69399999999996</v>
      </c>
      <c r="M212" s="89">
        <v>621.6</v>
      </c>
      <c r="N212" s="49"/>
      <c r="O212" s="89">
        <f t="shared" si="79"/>
        <v>1560.3850000000002</v>
      </c>
      <c r="P212" s="89">
        <f t="shared" si="86"/>
        <v>521.45699999999999</v>
      </c>
      <c r="Q212" s="89">
        <f t="shared" si="81"/>
        <v>629.36</v>
      </c>
      <c r="R212" s="89">
        <f t="shared" si="82"/>
        <v>1946.797</v>
      </c>
      <c r="S212" s="89">
        <f t="shared" si="83"/>
        <v>4657.9989999999998</v>
      </c>
      <c r="T212" s="49"/>
      <c r="U212" s="89">
        <f t="shared" ref="U212:U217" si="87">SUM(O212:Q212)+R211</f>
        <v>4938.8130000000001</v>
      </c>
    </row>
    <row r="213" spans="1:21" x14ac:dyDescent="0.2">
      <c r="A213" s="132">
        <v>2020</v>
      </c>
      <c r="B213" s="89">
        <v>546.59699999999998</v>
      </c>
      <c r="C213" s="89">
        <v>441.142</v>
      </c>
      <c r="D213" s="89">
        <v>321.41000000000003</v>
      </c>
      <c r="E213" s="89">
        <v>113.627</v>
      </c>
      <c r="F213" s="89">
        <v>95.453000000000003</v>
      </c>
      <c r="G213" s="89">
        <v>60.649000000000001</v>
      </c>
      <c r="H213" s="89">
        <v>60.93</v>
      </c>
      <c r="I213" s="89">
        <v>190.99799999999999</v>
      </c>
      <c r="J213" s="89">
        <v>573.64700000000005</v>
      </c>
      <c r="K213" s="89">
        <v>799.79600000000005</v>
      </c>
      <c r="L213" s="89">
        <v>757.447</v>
      </c>
      <c r="M213" s="89">
        <v>724.77300000000002</v>
      </c>
      <c r="N213" s="49"/>
      <c r="O213" s="89">
        <f t="shared" si="79"/>
        <v>1309.1490000000001</v>
      </c>
      <c r="P213" s="89">
        <f t="shared" si="86"/>
        <v>269.72899999999998</v>
      </c>
      <c r="Q213" s="89">
        <f t="shared" si="81"/>
        <v>825.57500000000005</v>
      </c>
      <c r="R213" s="89">
        <f>SUM(K213:M213)</f>
        <v>2282.0160000000001</v>
      </c>
      <c r="S213" s="89">
        <f t="shared" si="83"/>
        <v>4686.469000000001</v>
      </c>
      <c r="T213" s="49"/>
      <c r="U213" s="89">
        <f t="shared" si="87"/>
        <v>4351.25</v>
      </c>
    </row>
    <row r="214" spans="1:21" x14ac:dyDescent="0.2">
      <c r="A214" s="132">
        <v>2021</v>
      </c>
      <c r="B214" s="89">
        <v>700.41700000000003</v>
      </c>
      <c r="C214" s="89">
        <v>546.19899999999996</v>
      </c>
      <c r="D214" s="89">
        <v>460.62700000000001</v>
      </c>
      <c r="E214" s="89">
        <v>194.67</v>
      </c>
      <c r="F214" s="89">
        <v>99.206999999999994</v>
      </c>
      <c r="G214" s="89">
        <v>58.093000000000004</v>
      </c>
      <c r="H214" s="89">
        <v>74.832999999999998</v>
      </c>
      <c r="I214" s="89">
        <v>113.744</v>
      </c>
      <c r="J214" s="124">
        <v>561.93799999999999</v>
      </c>
      <c r="K214" s="124">
        <v>743.46699999999998</v>
      </c>
      <c r="L214" s="89">
        <v>753.54600000000005</v>
      </c>
      <c r="M214" s="124">
        <v>728.00800000000004</v>
      </c>
      <c r="N214" s="49"/>
      <c r="O214" s="89">
        <f>SUM(B214:D214)</f>
        <v>1707.2429999999999</v>
      </c>
      <c r="P214" s="89">
        <f t="shared" si="86"/>
        <v>351.96999999999997</v>
      </c>
      <c r="Q214" s="89">
        <f t="shared" si="81"/>
        <v>750.51499999999999</v>
      </c>
      <c r="R214" s="89">
        <f>SUM(K214:M214)</f>
        <v>2225.0209999999997</v>
      </c>
      <c r="S214" s="89">
        <f>SUM(O214:R214)</f>
        <v>5034.7489999999998</v>
      </c>
      <c r="T214" s="124"/>
      <c r="U214" s="89">
        <f>SUM(O214:Q214)+R213</f>
        <v>5091.7439999999997</v>
      </c>
    </row>
    <row r="215" spans="1:21" x14ac:dyDescent="0.2">
      <c r="A215" s="132">
        <v>2022</v>
      </c>
      <c r="B215" s="89">
        <v>634.48099999999999</v>
      </c>
      <c r="C215" s="124">
        <v>519.61099999999999</v>
      </c>
      <c r="D215" s="124">
        <v>509.71300000000002</v>
      </c>
      <c r="E215" s="124">
        <v>362.84399999999999</v>
      </c>
      <c r="F215" s="124">
        <v>218.69</v>
      </c>
      <c r="G215" s="124">
        <v>84.114000000000004</v>
      </c>
      <c r="H215" s="124">
        <v>64.162000000000006</v>
      </c>
      <c r="I215" s="124">
        <v>120.119</v>
      </c>
      <c r="J215" s="124">
        <v>416.63400000000001</v>
      </c>
      <c r="K215" s="124">
        <v>747.81700000000001</v>
      </c>
      <c r="L215" s="124">
        <v>754.846</v>
      </c>
      <c r="M215" s="124">
        <v>727.12900000000002</v>
      </c>
      <c r="N215" s="49"/>
      <c r="O215" s="89">
        <f>SUM(B215:D215)</f>
        <v>1663.8050000000001</v>
      </c>
      <c r="P215" s="89">
        <f t="shared" si="86"/>
        <v>665.64800000000002</v>
      </c>
      <c r="Q215" s="89">
        <f t="shared" si="81"/>
        <v>600.91499999999996</v>
      </c>
      <c r="R215" s="89">
        <f>SUM(K215:M215)</f>
        <v>2229.7919999999999</v>
      </c>
      <c r="S215" s="89">
        <f>SUM(O215:R215)</f>
        <v>5160.16</v>
      </c>
      <c r="T215" s="49"/>
      <c r="U215" s="89">
        <f t="shared" si="87"/>
        <v>5155.3889999999992</v>
      </c>
    </row>
    <row r="216" spans="1:21" x14ac:dyDescent="0.2">
      <c r="A216" s="132">
        <v>2023</v>
      </c>
      <c r="B216" s="89">
        <v>642.61599999999999</v>
      </c>
      <c r="C216" s="124">
        <v>499.10500000000002</v>
      </c>
      <c r="D216" s="124">
        <v>475.24799999999999</v>
      </c>
      <c r="E216" s="124">
        <v>347.75200000000001</v>
      </c>
      <c r="F216" s="124">
        <v>195.58699999999999</v>
      </c>
      <c r="G216" s="124">
        <v>81.929000000000002</v>
      </c>
      <c r="H216" s="124">
        <v>52.555999999999997</v>
      </c>
      <c r="I216" s="124">
        <v>125.876</v>
      </c>
      <c r="J216" s="124">
        <v>536.96400000000006</v>
      </c>
      <c r="K216" s="124">
        <v>738.39</v>
      </c>
      <c r="L216" s="124">
        <v>735.22900000000004</v>
      </c>
      <c r="M216" s="124">
        <v>716.56799999999998</v>
      </c>
      <c r="N216" s="49"/>
      <c r="O216" s="89">
        <f>SUM(B216:D216)</f>
        <v>1616.9690000000001</v>
      </c>
      <c r="P216" s="89">
        <f t="shared" ref="P216:P217" si="88">SUM(E216:G216)</f>
        <v>625.26799999999992</v>
      </c>
      <c r="Q216" s="89">
        <f t="shared" ref="Q216:Q217" si="89">SUM(H216:J216)</f>
        <v>715.39600000000007</v>
      </c>
      <c r="R216" s="89">
        <f>SUM(K216:M216)</f>
        <v>2190.1869999999999</v>
      </c>
      <c r="S216" s="89">
        <f>SUM(O216:R216)</f>
        <v>5147.82</v>
      </c>
      <c r="T216" s="49"/>
      <c r="U216" s="89">
        <f t="shared" si="87"/>
        <v>5187.4250000000002</v>
      </c>
    </row>
    <row r="217" spans="1:21" x14ac:dyDescent="0.2">
      <c r="A217" s="132">
        <v>2024</v>
      </c>
      <c r="B217" s="89">
        <v>624.77800000000002</v>
      </c>
      <c r="C217" s="124">
        <v>504.488</v>
      </c>
      <c r="D217" s="124">
        <v>459.62599999999998</v>
      </c>
      <c r="E217" s="124">
        <v>379.83600000000001</v>
      </c>
      <c r="F217" s="124">
        <v>179.066</v>
      </c>
      <c r="G217" s="124">
        <v>73.135999999999996</v>
      </c>
      <c r="H217" s="124">
        <v>70.849000000000004</v>
      </c>
      <c r="I217" s="124">
        <v>137.107</v>
      </c>
      <c r="J217" s="124">
        <v>553.38699999999994</v>
      </c>
      <c r="K217" s="124">
        <v>782.31200000000001</v>
      </c>
      <c r="L217" s="124">
        <v>732.52700000000004</v>
      </c>
      <c r="M217" s="124" t="s">
        <v>152</v>
      </c>
      <c r="N217" s="49"/>
      <c r="O217" s="89">
        <f>SUM(B217:D217)</f>
        <v>1588.8920000000001</v>
      </c>
      <c r="P217" s="89">
        <f t="shared" si="88"/>
        <v>632.03800000000001</v>
      </c>
      <c r="Q217" s="89">
        <f t="shared" si="89"/>
        <v>761.34299999999996</v>
      </c>
      <c r="R217" s="124" t="s">
        <v>152</v>
      </c>
      <c r="S217" s="124" t="s">
        <v>152</v>
      </c>
      <c r="T217" s="49"/>
      <c r="U217" s="89">
        <f t="shared" si="87"/>
        <v>5172.46</v>
      </c>
    </row>
    <row r="218" spans="1:21" x14ac:dyDescent="0.2">
      <c r="A218" s="207" t="s">
        <v>181</v>
      </c>
      <c r="B218" s="89"/>
      <c r="C218" s="89"/>
      <c r="D218" s="89"/>
      <c r="E218" s="89"/>
      <c r="F218" s="89"/>
      <c r="G218" s="89"/>
      <c r="H218" s="89"/>
      <c r="I218" s="89"/>
      <c r="J218" s="89"/>
      <c r="K218" s="89"/>
      <c r="L218" s="89"/>
      <c r="M218" s="89"/>
      <c r="N218" s="49"/>
      <c r="O218" s="89"/>
      <c r="P218" s="89"/>
      <c r="Q218" s="89"/>
      <c r="R218" s="89"/>
      <c r="S218" s="89"/>
      <c r="T218" s="49"/>
      <c r="U218" s="89"/>
    </row>
    <row r="219" spans="1:21" x14ac:dyDescent="0.2">
      <c r="A219" s="33">
        <v>1992</v>
      </c>
      <c r="B219" s="89">
        <f t="shared" ref="B219:M219" si="90">B151+B185</f>
        <v>909.09999999999991</v>
      </c>
      <c r="C219" s="89">
        <f t="shared" si="90"/>
        <v>703.8</v>
      </c>
      <c r="D219" s="89">
        <f t="shared" si="90"/>
        <v>563.59999999999991</v>
      </c>
      <c r="E219" s="89">
        <f t="shared" si="90"/>
        <v>290.10000000000002</v>
      </c>
      <c r="F219" s="89">
        <f t="shared" si="90"/>
        <v>245.2</v>
      </c>
      <c r="G219" s="89">
        <f t="shared" si="90"/>
        <v>207.5</v>
      </c>
      <c r="H219" s="89">
        <f t="shared" si="90"/>
        <v>188.7</v>
      </c>
      <c r="I219" s="89">
        <f t="shared" si="90"/>
        <v>162.74700000000001</v>
      </c>
      <c r="J219" s="89">
        <f t="shared" si="90"/>
        <v>379.09400000000005</v>
      </c>
      <c r="K219" s="89">
        <f t="shared" si="90"/>
        <v>1046.1580000000001</v>
      </c>
      <c r="L219" s="89">
        <f t="shared" si="90"/>
        <v>1475.1469999999999</v>
      </c>
      <c r="M219" s="89">
        <f t="shared" si="90"/>
        <v>1397.8240000000001</v>
      </c>
      <c r="N219" s="49"/>
      <c r="O219" s="89">
        <f t="shared" ref="O219:O230" si="91">SUM(B219:D219)</f>
        <v>2176.5</v>
      </c>
      <c r="P219" s="89">
        <f t="shared" ref="P219:P228" si="92">SUM(E219:G219)</f>
        <v>742.8</v>
      </c>
      <c r="Q219" s="89">
        <f t="shared" ref="Q219:Q225" si="93">SUM(H219:J219)</f>
        <v>730.54100000000005</v>
      </c>
      <c r="R219" s="89">
        <f t="shared" ref="R219:R228" si="94">SUM(K219:M219)</f>
        <v>3919.1290000000004</v>
      </c>
      <c r="S219" s="89">
        <f t="shared" ref="S219:S250" si="95">S151+S185</f>
        <v>7568.97</v>
      </c>
      <c r="T219" s="49"/>
      <c r="U219" s="89">
        <f t="shared" ref="U219:U225" si="96">U151+U185</f>
        <v>7238.3</v>
      </c>
    </row>
    <row r="220" spans="1:21" x14ac:dyDescent="0.2">
      <c r="A220" s="33">
        <v>1993</v>
      </c>
      <c r="B220" s="89">
        <f t="shared" ref="B220:M220" si="97">B152+B186</f>
        <v>891.50900000000001</v>
      </c>
      <c r="C220" s="89">
        <f t="shared" si="97"/>
        <v>778.26</v>
      </c>
      <c r="D220" s="89">
        <f t="shared" si="97"/>
        <v>718.78700000000003</v>
      </c>
      <c r="E220" s="89">
        <f t="shared" si="97"/>
        <v>336.41200000000003</v>
      </c>
      <c r="F220" s="89">
        <f t="shared" si="97"/>
        <v>269.85699999999997</v>
      </c>
      <c r="G220" s="89">
        <f t="shared" si="97"/>
        <v>216.27699999999999</v>
      </c>
      <c r="H220" s="89">
        <f t="shared" si="97"/>
        <v>183.958</v>
      </c>
      <c r="I220" s="89">
        <f t="shared" si="97"/>
        <v>205.88600000000002</v>
      </c>
      <c r="J220" s="89">
        <f t="shared" si="97"/>
        <v>317.43200000000002</v>
      </c>
      <c r="K220" s="89">
        <f t="shared" si="97"/>
        <v>1078.931</v>
      </c>
      <c r="L220" s="89">
        <f t="shared" si="97"/>
        <v>1474.9949999999999</v>
      </c>
      <c r="M220" s="89">
        <f t="shared" si="97"/>
        <v>1358.91</v>
      </c>
      <c r="N220" s="49"/>
      <c r="O220" s="89">
        <f t="shared" si="91"/>
        <v>2388.556</v>
      </c>
      <c r="P220" s="89">
        <f t="shared" si="92"/>
        <v>822.54600000000005</v>
      </c>
      <c r="Q220" s="89">
        <f t="shared" si="93"/>
        <v>707.27600000000007</v>
      </c>
      <c r="R220" s="89">
        <f t="shared" si="94"/>
        <v>3912.8360000000002</v>
      </c>
      <c r="S220" s="89">
        <f t="shared" si="95"/>
        <v>7831.2139999999999</v>
      </c>
      <c r="T220" s="49"/>
      <c r="U220" s="89">
        <f t="shared" si="96"/>
        <v>7837.5070000000005</v>
      </c>
    </row>
    <row r="221" spans="1:21" x14ac:dyDescent="0.2">
      <c r="A221" s="33">
        <v>1994</v>
      </c>
      <c r="B221" s="89">
        <f t="shared" ref="B221:M221" si="98">B153+B187</f>
        <v>967.19799999999998</v>
      </c>
      <c r="C221" s="89">
        <f t="shared" si="98"/>
        <v>667.13200000000006</v>
      </c>
      <c r="D221" s="89">
        <f t="shared" si="98"/>
        <v>600.39499999999998</v>
      </c>
      <c r="E221" s="89">
        <f t="shared" si="98"/>
        <v>253.65</v>
      </c>
      <c r="F221" s="89">
        <f t="shared" si="98"/>
        <v>213.125</v>
      </c>
      <c r="G221" s="89">
        <f t="shared" si="98"/>
        <v>171.72199999999998</v>
      </c>
      <c r="H221" s="89">
        <f t="shared" si="98"/>
        <v>210.017</v>
      </c>
      <c r="I221" s="89">
        <f t="shared" si="98"/>
        <v>215.6</v>
      </c>
      <c r="J221" s="89">
        <f t="shared" si="98"/>
        <v>444.01</v>
      </c>
      <c r="K221" s="89">
        <f t="shared" si="98"/>
        <v>1139.155</v>
      </c>
      <c r="L221" s="89">
        <f t="shared" si="98"/>
        <v>1445.5099999999998</v>
      </c>
      <c r="M221" s="89">
        <f t="shared" si="98"/>
        <v>1341.393</v>
      </c>
      <c r="N221" s="49"/>
      <c r="O221" s="89">
        <f t="shared" si="91"/>
        <v>2234.7249999999999</v>
      </c>
      <c r="P221" s="89">
        <f t="shared" si="92"/>
        <v>638.49699999999996</v>
      </c>
      <c r="Q221" s="89">
        <f t="shared" si="93"/>
        <v>869.62699999999995</v>
      </c>
      <c r="R221" s="89">
        <f t="shared" si="94"/>
        <v>3926.058</v>
      </c>
      <c r="S221" s="89">
        <f t="shared" si="95"/>
        <v>7668.9070000000002</v>
      </c>
      <c r="T221" s="49"/>
      <c r="U221" s="89">
        <f t="shared" si="96"/>
        <v>7655.6849999999995</v>
      </c>
    </row>
    <row r="222" spans="1:21" x14ac:dyDescent="0.2">
      <c r="A222" s="35">
        <v>1995</v>
      </c>
      <c r="B222" s="89">
        <f t="shared" ref="B222:M222" si="99">B154+B188</f>
        <v>1010.7169999999999</v>
      </c>
      <c r="C222" s="89">
        <f t="shared" si="99"/>
        <v>720.67200000000003</v>
      </c>
      <c r="D222" s="89">
        <f t="shared" si="99"/>
        <v>701.39</v>
      </c>
      <c r="E222" s="89">
        <f t="shared" si="99"/>
        <v>356.13300000000004</v>
      </c>
      <c r="F222" s="89">
        <f t="shared" si="99"/>
        <v>300.09199999999998</v>
      </c>
      <c r="G222" s="89">
        <f t="shared" si="99"/>
        <v>218.69499999999999</v>
      </c>
      <c r="H222" s="89">
        <f t="shared" si="99"/>
        <v>189.32600000000002</v>
      </c>
      <c r="I222" s="89">
        <f t="shared" si="99"/>
        <v>163.88300000000001</v>
      </c>
      <c r="J222" s="89">
        <f t="shared" si="99"/>
        <v>340.42200000000003</v>
      </c>
      <c r="K222" s="89">
        <f t="shared" si="99"/>
        <v>1042.3440000000001</v>
      </c>
      <c r="L222" s="89">
        <f t="shared" si="99"/>
        <v>1499.598</v>
      </c>
      <c r="M222" s="89">
        <f t="shared" si="99"/>
        <v>1434.8589999999999</v>
      </c>
      <c r="N222" s="49"/>
      <c r="O222" s="89">
        <f t="shared" si="91"/>
        <v>2432.779</v>
      </c>
      <c r="P222" s="89">
        <f t="shared" si="92"/>
        <v>874.92000000000007</v>
      </c>
      <c r="Q222" s="89">
        <f t="shared" si="93"/>
        <v>693.63100000000009</v>
      </c>
      <c r="R222" s="89">
        <f t="shared" si="94"/>
        <v>3976.8009999999999</v>
      </c>
      <c r="S222" s="89">
        <f t="shared" si="95"/>
        <v>7978.1310000000003</v>
      </c>
      <c r="T222" s="49"/>
      <c r="U222" s="89">
        <f t="shared" si="96"/>
        <v>7927.8710000000001</v>
      </c>
    </row>
    <row r="223" spans="1:21" x14ac:dyDescent="0.2">
      <c r="A223" s="35">
        <v>1996</v>
      </c>
      <c r="B223" s="89">
        <f t="shared" ref="B223:M223" si="100">B155+B189</f>
        <v>942.29899999999998</v>
      </c>
      <c r="C223" s="89">
        <f t="shared" si="100"/>
        <v>703.43399999999997</v>
      </c>
      <c r="D223" s="89">
        <f t="shared" si="100"/>
        <v>482.85500000000002</v>
      </c>
      <c r="E223" s="89">
        <f t="shared" si="100"/>
        <v>297.339</v>
      </c>
      <c r="F223" s="89">
        <f t="shared" si="100"/>
        <v>221.23599999999999</v>
      </c>
      <c r="G223" s="89">
        <f t="shared" si="100"/>
        <v>175.916</v>
      </c>
      <c r="H223" s="89">
        <f t="shared" si="100"/>
        <v>118.473</v>
      </c>
      <c r="I223" s="89">
        <f t="shared" si="100"/>
        <v>138.78100000000001</v>
      </c>
      <c r="J223" s="89">
        <f t="shared" si="100"/>
        <v>313.24400000000003</v>
      </c>
      <c r="K223" s="89">
        <f t="shared" si="100"/>
        <v>942.15</v>
      </c>
      <c r="L223" s="89">
        <f t="shared" si="100"/>
        <v>1441.692</v>
      </c>
      <c r="M223" s="89">
        <f t="shared" si="100"/>
        <v>1490.5419999999999</v>
      </c>
      <c r="N223" s="49"/>
      <c r="O223" s="89">
        <f t="shared" si="91"/>
        <v>2128.5879999999997</v>
      </c>
      <c r="P223" s="89">
        <f t="shared" si="92"/>
        <v>694.49099999999999</v>
      </c>
      <c r="Q223" s="89">
        <f t="shared" si="93"/>
        <v>570.49800000000005</v>
      </c>
      <c r="R223" s="89">
        <f t="shared" si="94"/>
        <v>3874.384</v>
      </c>
      <c r="S223" s="89">
        <f t="shared" si="95"/>
        <v>7267.9609999999993</v>
      </c>
      <c r="T223" s="49"/>
      <c r="U223" s="89">
        <f t="shared" si="96"/>
        <v>7370.3779999999997</v>
      </c>
    </row>
    <row r="224" spans="1:21" x14ac:dyDescent="0.2">
      <c r="A224" s="35">
        <v>1997</v>
      </c>
      <c r="B224" s="89">
        <f t="shared" ref="B224:M224" si="101">B156+B190</f>
        <v>931.91599999999994</v>
      </c>
      <c r="C224" s="89">
        <f t="shared" si="101"/>
        <v>662.46299999999997</v>
      </c>
      <c r="D224" s="89">
        <f t="shared" si="101"/>
        <v>480.80700000000002</v>
      </c>
      <c r="E224" s="89">
        <f t="shared" si="101"/>
        <v>321.58</v>
      </c>
      <c r="F224" s="89">
        <f t="shared" si="101"/>
        <v>199.68299999999999</v>
      </c>
      <c r="G224" s="89">
        <f t="shared" si="101"/>
        <v>158.67099999999999</v>
      </c>
      <c r="H224" s="89">
        <f t="shared" si="101"/>
        <v>150.51400000000001</v>
      </c>
      <c r="I224" s="89">
        <f t="shared" si="101"/>
        <v>145.607</v>
      </c>
      <c r="J224" s="89">
        <f t="shared" si="101"/>
        <v>279.971</v>
      </c>
      <c r="K224" s="89">
        <f t="shared" si="101"/>
        <v>1173.5320000000002</v>
      </c>
      <c r="L224" s="89">
        <f t="shared" si="101"/>
        <v>1550.308</v>
      </c>
      <c r="M224" s="89">
        <f t="shared" si="101"/>
        <v>1363.703</v>
      </c>
      <c r="N224" s="49"/>
      <c r="O224" s="89">
        <f t="shared" si="91"/>
        <v>2075.1859999999997</v>
      </c>
      <c r="P224" s="89">
        <f t="shared" si="92"/>
        <v>679.93399999999997</v>
      </c>
      <c r="Q224" s="89">
        <f t="shared" si="93"/>
        <v>576.09199999999998</v>
      </c>
      <c r="R224" s="89">
        <f t="shared" si="94"/>
        <v>4087.5430000000001</v>
      </c>
      <c r="S224" s="89">
        <f t="shared" si="95"/>
        <v>7418.7549999999992</v>
      </c>
      <c r="T224" s="49"/>
      <c r="U224" s="89">
        <f t="shared" si="96"/>
        <v>7205.5959999999995</v>
      </c>
    </row>
    <row r="225" spans="1:21" x14ac:dyDescent="0.2">
      <c r="A225" s="35">
        <v>1998</v>
      </c>
      <c r="B225" s="89">
        <f t="shared" ref="B225:M225" si="102">B157+B191</f>
        <v>1045.191</v>
      </c>
      <c r="C225" s="89">
        <f t="shared" si="102"/>
        <v>726.46399999999994</v>
      </c>
      <c r="D225" s="89">
        <f t="shared" si="102"/>
        <v>604.47399999999993</v>
      </c>
      <c r="E225" s="89">
        <f t="shared" si="102"/>
        <v>410.69200000000001</v>
      </c>
      <c r="F225" s="89">
        <f t="shared" si="102"/>
        <v>240.33699999999999</v>
      </c>
      <c r="G225" s="89">
        <f t="shared" si="102"/>
        <v>172.57300000000001</v>
      </c>
      <c r="H225" s="89">
        <f t="shared" si="102"/>
        <v>154.80000000000001</v>
      </c>
      <c r="I225" s="89">
        <f t="shared" si="102"/>
        <v>190.114</v>
      </c>
      <c r="J225" s="89">
        <f t="shared" si="102"/>
        <v>387.87799999999999</v>
      </c>
      <c r="K225" s="89">
        <f t="shared" si="102"/>
        <v>1059.277</v>
      </c>
      <c r="L225" s="89">
        <f t="shared" si="102"/>
        <v>1392.3020000000001</v>
      </c>
      <c r="M225" s="89">
        <f t="shared" si="102"/>
        <v>1507.252</v>
      </c>
      <c r="N225" s="49"/>
      <c r="O225" s="89">
        <f t="shared" si="91"/>
        <v>2376.1289999999999</v>
      </c>
      <c r="P225" s="89">
        <f t="shared" si="92"/>
        <v>823.60199999999998</v>
      </c>
      <c r="Q225" s="89">
        <f t="shared" si="93"/>
        <v>732.79199999999992</v>
      </c>
      <c r="R225" s="89">
        <f t="shared" si="94"/>
        <v>3958.8310000000001</v>
      </c>
      <c r="S225" s="89">
        <f t="shared" si="95"/>
        <v>7891.3539999999994</v>
      </c>
      <c r="T225" s="49"/>
      <c r="U225" s="89">
        <f t="shared" si="96"/>
        <v>8020.0659999999998</v>
      </c>
    </row>
    <row r="226" spans="1:21" x14ac:dyDescent="0.2">
      <c r="A226" s="35">
        <v>1999</v>
      </c>
      <c r="B226" s="89">
        <f t="shared" ref="B226:M226" si="103">B158+B192</f>
        <v>1104.807</v>
      </c>
      <c r="C226" s="89">
        <f t="shared" si="103"/>
        <v>821.524</v>
      </c>
      <c r="D226" s="89">
        <f t="shared" si="103"/>
        <v>709.50700000000006</v>
      </c>
      <c r="E226" s="89">
        <f t="shared" si="103"/>
        <v>495.00800000000004</v>
      </c>
      <c r="F226" s="89">
        <f t="shared" si="103"/>
        <v>364.46899999999999</v>
      </c>
      <c r="G226" s="89">
        <f t="shared" si="103"/>
        <v>171.67500000000001</v>
      </c>
      <c r="H226" s="89">
        <f t="shared" si="103"/>
        <v>116.59</v>
      </c>
      <c r="I226" s="89">
        <f t="shared" si="103"/>
        <v>165.59800000000001</v>
      </c>
      <c r="J226" s="89">
        <f t="shared" si="103"/>
        <v>465.68399999999997</v>
      </c>
      <c r="K226" s="89">
        <f t="shared" si="103"/>
        <v>1340.1510000000001</v>
      </c>
      <c r="L226" s="89">
        <f t="shared" si="103"/>
        <v>1669.5030000000002</v>
      </c>
      <c r="M226" s="89">
        <f t="shared" si="103"/>
        <v>1657.4760000000001</v>
      </c>
      <c r="N226" s="49"/>
      <c r="O226" s="89">
        <f t="shared" si="91"/>
        <v>2635.8380000000002</v>
      </c>
      <c r="P226" s="89">
        <f t="shared" si="92"/>
        <v>1031.152</v>
      </c>
      <c r="Q226" s="89">
        <f>Q158+Q192</f>
        <v>747.87200000000007</v>
      </c>
      <c r="R226" s="89">
        <f t="shared" si="94"/>
        <v>4667.130000000001</v>
      </c>
      <c r="S226" s="89">
        <f t="shared" si="95"/>
        <v>9081.992000000002</v>
      </c>
      <c r="T226" s="49"/>
      <c r="U226" s="89">
        <f t="shared" ref="U226:U232" si="104">SUM(O226:Q226)+R225</f>
        <v>8373.6929999999993</v>
      </c>
    </row>
    <row r="227" spans="1:21" x14ac:dyDescent="0.2">
      <c r="A227" s="33">
        <v>2000</v>
      </c>
      <c r="B227" s="89">
        <f t="shared" ref="B227:M227" si="105">B159+B193</f>
        <v>1210.7620000000002</v>
      </c>
      <c r="C227" s="89">
        <f t="shared" si="105"/>
        <v>872.32799999999997</v>
      </c>
      <c r="D227" s="89">
        <f t="shared" si="105"/>
        <v>597.97800000000007</v>
      </c>
      <c r="E227" s="89">
        <f t="shared" si="105"/>
        <v>403.43599999999998</v>
      </c>
      <c r="F227" s="89">
        <f t="shared" si="105"/>
        <v>322.279</v>
      </c>
      <c r="G227" s="89">
        <f t="shared" si="105"/>
        <v>196.46800000000002</v>
      </c>
      <c r="H227" s="89">
        <f t="shared" si="105"/>
        <v>153.88900000000001</v>
      </c>
      <c r="I227" s="89">
        <f t="shared" si="105"/>
        <v>163.25299999999999</v>
      </c>
      <c r="J227" s="89">
        <f t="shared" si="105"/>
        <v>455.79399999999998</v>
      </c>
      <c r="K227" s="89">
        <f t="shared" si="105"/>
        <v>1352.393</v>
      </c>
      <c r="L227" s="89">
        <f t="shared" si="105"/>
        <v>1590.6020000000001</v>
      </c>
      <c r="M227" s="89">
        <f t="shared" si="105"/>
        <v>1644.9920000000002</v>
      </c>
      <c r="N227" s="49"/>
      <c r="O227" s="89">
        <f t="shared" si="91"/>
        <v>2681.0680000000002</v>
      </c>
      <c r="P227" s="89">
        <f t="shared" si="92"/>
        <v>922.18299999999999</v>
      </c>
      <c r="Q227" s="89">
        <f>Q159+Q193</f>
        <v>772.93599999999992</v>
      </c>
      <c r="R227" s="89">
        <f t="shared" si="94"/>
        <v>4587.9870000000001</v>
      </c>
      <c r="S227" s="89">
        <f t="shared" si="95"/>
        <v>8964.1740000000009</v>
      </c>
      <c r="T227" s="49"/>
      <c r="U227" s="89">
        <f t="shared" si="104"/>
        <v>9043.3170000000009</v>
      </c>
    </row>
    <row r="228" spans="1:21" x14ac:dyDescent="0.2">
      <c r="A228" s="132">
        <v>2001</v>
      </c>
      <c r="B228" s="89">
        <f t="shared" ref="B228:M228" si="106">B160+B194</f>
        <v>1177.1819999999998</v>
      </c>
      <c r="C228" s="89">
        <f t="shared" si="106"/>
        <v>863.30600000000004</v>
      </c>
      <c r="D228" s="89">
        <f t="shared" si="106"/>
        <v>660.22499999999991</v>
      </c>
      <c r="E228" s="89">
        <f t="shared" si="106"/>
        <v>381.60199999999998</v>
      </c>
      <c r="F228" s="89">
        <f t="shared" si="106"/>
        <v>281.39400000000001</v>
      </c>
      <c r="G228" s="89">
        <f t="shared" si="106"/>
        <v>164.59</v>
      </c>
      <c r="H228" s="89">
        <f t="shared" si="106"/>
        <v>121.11699999999999</v>
      </c>
      <c r="I228" s="89">
        <f t="shared" si="106"/>
        <v>147.10599999999999</v>
      </c>
      <c r="J228" s="89">
        <f t="shared" si="106"/>
        <v>384.37300000000005</v>
      </c>
      <c r="K228" s="89">
        <f t="shared" si="106"/>
        <v>1299.152</v>
      </c>
      <c r="L228" s="89">
        <f t="shared" si="106"/>
        <v>1657.7809999999999</v>
      </c>
      <c r="M228" s="89">
        <f t="shared" si="106"/>
        <v>1504.136</v>
      </c>
      <c r="N228" s="49"/>
      <c r="O228" s="89">
        <f t="shared" si="91"/>
        <v>2700.7129999999997</v>
      </c>
      <c r="P228" s="89">
        <f t="shared" si="92"/>
        <v>827.58600000000001</v>
      </c>
      <c r="Q228" s="89">
        <f>Q160+Q194</f>
        <v>652.596</v>
      </c>
      <c r="R228" s="89">
        <f t="shared" si="94"/>
        <v>4461.0689999999995</v>
      </c>
      <c r="S228" s="89">
        <f t="shared" si="95"/>
        <v>8641.9639999999999</v>
      </c>
      <c r="T228" s="49"/>
      <c r="U228" s="89">
        <f t="shared" si="104"/>
        <v>8768.8820000000014</v>
      </c>
    </row>
    <row r="229" spans="1:21" x14ac:dyDescent="0.2">
      <c r="A229" s="132">
        <v>2002</v>
      </c>
      <c r="B229" s="89">
        <f t="shared" ref="B229:M229" si="107">B161+B195</f>
        <v>1048.7469999999998</v>
      </c>
      <c r="C229" s="89">
        <f t="shared" si="107"/>
        <v>724.90699999999993</v>
      </c>
      <c r="D229" s="89">
        <f t="shared" si="107"/>
        <v>686.55899999999997</v>
      </c>
      <c r="E229" s="89">
        <f t="shared" si="107"/>
        <v>296.09399999999999</v>
      </c>
      <c r="F229" s="89">
        <f t="shared" si="107"/>
        <v>114.66</v>
      </c>
      <c r="G229" s="89">
        <f t="shared" si="107"/>
        <v>90.103000000000009</v>
      </c>
      <c r="H229" s="89">
        <f t="shared" si="107"/>
        <v>100.02999999999999</v>
      </c>
      <c r="I229" s="89">
        <f t="shared" si="107"/>
        <v>110.295</v>
      </c>
      <c r="J229" s="89">
        <f t="shared" si="107"/>
        <v>267.60400000000004</v>
      </c>
      <c r="K229" s="89">
        <f t="shared" si="107"/>
        <v>1086.6420000000001</v>
      </c>
      <c r="L229" s="89">
        <f t="shared" si="107"/>
        <v>1492.6529999999998</v>
      </c>
      <c r="M229" s="89">
        <f t="shared" si="107"/>
        <v>1486.1329999999998</v>
      </c>
      <c r="N229" s="89"/>
      <c r="O229" s="89">
        <f t="shared" si="91"/>
        <v>2460.2129999999997</v>
      </c>
      <c r="P229" s="89">
        <f t="shared" ref="P229:P234" si="108">SUM(E229:G229)</f>
        <v>500.85700000000003</v>
      </c>
      <c r="Q229" s="89">
        <f t="shared" ref="Q229:Q234" si="109">SUM(H229:J229)</f>
        <v>477.92900000000003</v>
      </c>
      <c r="R229" s="89">
        <f t="shared" ref="R229:R234" si="110">SUM(K229:M229)</f>
        <v>4065.4279999999999</v>
      </c>
      <c r="S229" s="89">
        <f t="shared" si="95"/>
        <v>7504.4269999999997</v>
      </c>
      <c r="T229" s="49"/>
      <c r="U229" s="89">
        <f t="shared" si="104"/>
        <v>7900.0679999999993</v>
      </c>
    </row>
    <row r="230" spans="1:21" x14ac:dyDescent="0.2">
      <c r="A230" s="132">
        <v>2003</v>
      </c>
      <c r="B230" s="89">
        <f t="shared" ref="B230:M230" si="111">B162+B196</f>
        <v>1146.4349999999999</v>
      </c>
      <c r="C230" s="89">
        <f t="shared" si="111"/>
        <v>821.50900000000001</v>
      </c>
      <c r="D230" s="89">
        <f t="shared" si="111"/>
        <v>708.60199999999998</v>
      </c>
      <c r="E230" s="89">
        <f t="shared" si="111"/>
        <v>416.92500000000001</v>
      </c>
      <c r="F230" s="89">
        <f t="shared" si="111"/>
        <v>289.09100000000001</v>
      </c>
      <c r="G230" s="89">
        <f t="shared" si="111"/>
        <v>169.12</v>
      </c>
      <c r="H230" s="89">
        <f t="shared" si="111"/>
        <v>117.58099999999999</v>
      </c>
      <c r="I230" s="89">
        <f t="shared" si="111"/>
        <v>153.23599999999999</v>
      </c>
      <c r="J230" s="89">
        <f t="shared" si="111"/>
        <v>538.00300000000004</v>
      </c>
      <c r="K230" s="89">
        <f t="shared" si="111"/>
        <v>1448.3580000000002</v>
      </c>
      <c r="L230" s="89">
        <f t="shared" si="111"/>
        <v>1672.7670000000001</v>
      </c>
      <c r="M230" s="89">
        <f t="shared" si="111"/>
        <v>1494.5319999999999</v>
      </c>
      <c r="N230" s="89"/>
      <c r="O230" s="89">
        <f t="shared" si="91"/>
        <v>2676.5459999999998</v>
      </c>
      <c r="P230" s="89">
        <f t="shared" si="108"/>
        <v>875.13600000000008</v>
      </c>
      <c r="Q230" s="89">
        <f t="shared" si="109"/>
        <v>808.82</v>
      </c>
      <c r="R230" s="89">
        <f t="shared" si="110"/>
        <v>4615.6570000000002</v>
      </c>
      <c r="S230" s="89">
        <f t="shared" si="95"/>
        <v>8976.1589999999997</v>
      </c>
      <c r="T230" s="49"/>
      <c r="U230" s="89">
        <f t="shared" si="104"/>
        <v>8425.93</v>
      </c>
    </row>
    <row r="231" spans="1:21" x14ac:dyDescent="0.2">
      <c r="A231" s="132">
        <v>2004</v>
      </c>
      <c r="B231" s="89">
        <f t="shared" ref="B231:M231" si="112">B163+B197</f>
        <v>1139.9180000000001</v>
      </c>
      <c r="C231" s="89">
        <f t="shared" si="112"/>
        <v>882.75399999999991</v>
      </c>
      <c r="D231" s="89">
        <f t="shared" si="112"/>
        <v>760.69399999999996</v>
      </c>
      <c r="E231" s="89">
        <f t="shared" si="112"/>
        <v>376.33500000000004</v>
      </c>
      <c r="F231" s="89">
        <f t="shared" si="112"/>
        <v>277.40600000000001</v>
      </c>
      <c r="G231" s="89">
        <f t="shared" si="112"/>
        <v>101.544</v>
      </c>
      <c r="H231" s="89">
        <f t="shared" si="112"/>
        <v>96.733000000000004</v>
      </c>
      <c r="I231" s="89">
        <f t="shared" si="112"/>
        <v>116.76900000000001</v>
      </c>
      <c r="J231" s="89">
        <f t="shared" si="112"/>
        <v>281.58199999999999</v>
      </c>
      <c r="K231" s="89">
        <f t="shared" si="112"/>
        <v>1257.902</v>
      </c>
      <c r="L231" s="89">
        <f t="shared" si="112"/>
        <v>1652.115</v>
      </c>
      <c r="M231" s="89">
        <f t="shared" si="112"/>
        <v>1422.6179999999999</v>
      </c>
      <c r="N231" s="89"/>
      <c r="O231" s="89">
        <f t="shared" ref="O231:O246" si="113">SUM(B231:D231)</f>
        <v>2783.366</v>
      </c>
      <c r="P231" s="89">
        <f t="shared" si="108"/>
        <v>755.28499999999997</v>
      </c>
      <c r="Q231" s="89">
        <f t="shared" si="109"/>
        <v>495.084</v>
      </c>
      <c r="R231" s="89">
        <f t="shared" si="110"/>
        <v>4332.6350000000002</v>
      </c>
      <c r="S231" s="89">
        <f t="shared" si="95"/>
        <v>8366.3700000000008</v>
      </c>
      <c r="T231" s="49"/>
      <c r="U231" s="89">
        <f t="shared" si="104"/>
        <v>8649.3919999999998</v>
      </c>
    </row>
    <row r="232" spans="1:21" x14ac:dyDescent="0.2">
      <c r="A232" s="132">
        <v>2005</v>
      </c>
      <c r="B232" s="89">
        <f t="shared" ref="B232:M232" si="114">B164+B198</f>
        <v>1088.461</v>
      </c>
      <c r="C232" s="89">
        <f t="shared" si="114"/>
        <v>743.30700000000002</v>
      </c>
      <c r="D232" s="89">
        <f t="shared" si="114"/>
        <v>594.21100000000001</v>
      </c>
      <c r="E232" s="89">
        <f t="shared" si="114"/>
        <v>329.49099999999999</v>
      </c>
      <c r="F232" s="89">
        <f t="shared" si="114"/>
        <v>236.01300000000001</v>
      </c>
      <c r="G232" s="89">
        <f t="shared" si="114"/>
        <v>93.597999999999999</v>
      </c>
      <c r="H232" s="89">
        <f t="shared" si="114"/>
        <v>101.977</v>
      </c>
      <c r="I232" s="89">
        <f t="shared" si="114"/>
        <v>86.132999999999996</v>
      </c>
      <c r="J232" s="89">
        <f t="shared" si="114"/>
        <v>270.15800000000002</v>
      </c>
      <c r="K232" s="89">
        <f t="shared" si="114"/>
        <v>1080.5</v>
      </c>
      <c r="L232" s="89">
        <f t="shared" si="114"/>
        <v>1465.6750000000002</v>
      </c>
      <c r="M232" s="89">
        <f t="shared" si="114"/>
        <v>1388.479</v>
      </c>
      <c r="N232" s="89"/>
      <c r="O232" s="89">
        <f t="shared" si="113"/>
        <v>2425.9790000000003</v>
      </c>
      <c r="P232" s="89">
        <f t="shared" si="108"/>
        <v>659.10199999999998</v>
      </c>
      <c r="Q232" s="89">
        <f t="shared" si="109"/>
        <v>458.26800000000003</v>
      </c>
      <c r="R232" s="89">
        <f t="shared" si="110"/>
        <v>3934.6540000000005</v>
      </c>
      <c r="S232" s="89">
        <f t="shared" si="95"/>
        <v>7478.0030000000006</v>
      </c>
      <c r="T232" s="49"/>
      <c r="U232" s="89">
        <f t="shared" si="104"/>
        <v>7875.9840000000004</v>
      </c>
    </row>
    <row r="233" spans="1:21" x14ac:dyDescent="0.2">
      <c r="A233" s="132">
        <v>2006</v>
      </c>
      <c r="B233" s="89">
        <f t="shared" ref="B233:M233" si="115">B165+B199</f>
        <v>997.13799999999992</v>
      </c>
      <c r="C233" s="89">
        <f t="shared" si="115"/>
        <v>734.26700000000005</v>
      </c>
      <c r="D233" s="89">
        <f t="shared" si="115"/>
        <v>549.24300000000005</v>
      </c>
      <c r="E233" s="89">
        <f t="shared" si="115"/>
        <v>317.97000000000003</v>
      </c>
      <c r="F233" s="89">
        <f t="shared" si="115"/>
        <v>113.77699999999999</v>
      </c>
      <c r="G233" s="89">
        <f t="shared" si="115"/>
        <v>112.14099999999999</v>
      </c>
      <c r="H233" s="89">
        <f t="shared" si="115"/>
        <v>83.728000000000009</v>
      </c>
      <c r="I233" s="89">
        <f t="shared" si="115"/>
        <v>134.934</v>
      </c>
      <c r="J233" s="89">
        <f t="shared" si="115"/>
        <v>421.58100000000002</v>
      </c>
      <c r="K233" s="89">
        <f t="shared" si="115"/>
        <v>1221.9590000000001</v>
      </c>
      <c r="L233" s="89">
        <f t="shared" si="115"/>
        <v>1532.8120000000001</v>
      </c>
      <c r="M233" s="89">
        <f t="shared" si="115"/>
        <v>1536.1170000000002</v>
      </c>
      <c r="N233" s="89"/>
      <c r="O233" s="89">
        <f t="shared" si="113"/>
        <v>2280.6480000000001</v>
      </c>
      <c r="P233" s="89">
        <f t="shared" si="108"/>
        <v>543.88800000000003</v>
      </c>
      <c r="Q233" s="89">
        <f t="shared" si="109"/>
        <v>640.24300000000005</v>
      </c>
      <c r="R233" s="89">
        <f t="shared" si="110"/>
        <v>4290.8880000000008</v>
      </c>
      <c r="S233" s="89">
        <f t="shared" si="95"/>
        <v>7755.6670000000004</v>
      </c>
      <c r="T233" s="49"/>
      <c r="U233" s="89">
        <f t="shared" ref="U233:U245" si="116">R232+O233+P233+Q233</f>
        <v>7399.4330000000009</v>
      </c>
    </row>
    <row r="234" spans="1:21" x14ac:dyDescent="0.2">
      <c r="A234" s="132">
        <v>2007</v>
      </c>
      <c r="B234" s="89">
        <f t="shared" ref="B234:M234" si="117">B166+B200</f>
        <v>1075.144</v>
      </c>
      <c r="C234" s="89">
        <f t="shared" si="117"/>
        <v>875.13799999999992</v>
      </c>
      <c r="D234" s="89">
        <f t="shared" si="117"/>
        <v>729.19200000000001</v>
      </c>
      <c r="E234" s="89">
        <f t="shared" si="117"/>
        <v>403.47400000000005</v>
      </c>
      <c r="F234" s="89">
        <f t="shared" si="117"/>
        <v>326.64300000000003</v>
      </c>
      <c r="G234" s="89">
        <f t="shared" si="117"/>
        <v>107.43899999999999</v>
      </c>
      <c r="H234" s="89">
        <f t="shared" si="117"/>
        <v>103.917</v>
      </c>
      <c r="I234" s="89">
        <f t="shared" si="117"/>
        <v>130.19999999999999</v>
      </c>
      <c r="J234" s="89">
        <f t="shared" si="117"/>
        <v>403.36600000000004</v>
      </c>
      <c r="K234" s="89">
        <f t="shared" si="117"/>
        <v>1235.655</v>
      </c>
      <c r="L234" s="89">
        <f t="shared" si="117"/>
        <v>1534.385</v>
      </c>
      <c r="M234" s="89">
        <f t="shared" si="117"/>
        <v>1542.585</v>
      </c>
      <c r="N234" s="89"/>
      <c r="O234" s="89">
        <f t="shared" si="113"/>
        <v>2679.4740000000002</v>
      </c>
      <c r="P234" s="89">
        <f t="shared" si="108"/>
        <v>837.55600000000004</v>
      </c>
      <c r="Q234" s="89">
        <f t="shared" si="109"/>
        <v>637.48300000000006</v>
      </c>
      <c r="R234" s="89">
        <f t="shared" si="110"/>
        <v>4312.625</v>
      </c>
      <c r="S234" s="89">
        <f t="shared" si="95"/>
        <v>8467.1380000000008</v>
      </c>
      <c r="T234" s="49"/>
      <c r="U234" s="89">
        <f t="shared" si="116"/>
        <v>8445.4010000000017</v>
      </c>
    </row>
    <row r="235" spans="1:21" x14ac:dyDescent="0.2">
      <c r="A235" s="132">
        <v>2008</v>
      </c>
      <c r="B235" s="89">
        <f t="shared" ref="B235:M235" si="118">B167+B201</f>
        <v>1040.5050000000001</v>
      </c>
      <c r="C235" s="89">
        <f t="shared" si="118"/>
        <v>805.47700000000009</v>
      </c>
      <c r="D235" s="89">
        <f t="shared" si="118"/>
        <v>713.01199999999994</v>
      </c>
      <c r="E235" s="89">
        <f t="shared" si="118"/>
        <v>446.298</v>
      </c>
      <c r="F235" s="89">
        <f t="shared" si="118"/>
        <v>285.03000000000003</v>
      </c>
      <c r="G235" s="89">
        <f t="shared" si="118"/>
        <v>113.88999999999999</v>
      </c>
      <c r="H235" s="89">
        <f t="shared" si="118"/>
        <v>101.428</v>
      </c>
      <c r="I235" s="89">
        <f t="shared" si="118"/>
        <v>98.574000000000012</v>
      </c>
      <c r="J235" s="89">
        <f t="shared" si="118"/>
        <v>235.31700000000001</v>
      </c>
      <c r="K235" s="89">
        <f t="shared" si="118"/>
        <v>1041.31</v>
      </c>
      <c r="L235" s="89">
        <f t="shared" si="118"/>
        <v>1589.7850000000001</v>
      </c>
      <c r="M235" s="89">
        <f t="shared" si="118"/>
        <v>1476.683</v>
      </c>
      <c r="N235" s="89"/>
      <c r="O235" s="89">
        <f t="shared" si="113"/>
        <v>2558.9940000000001</v>
      </c>
      <c r="P235" s="89">
        <f t="shared" ref="P235:P247" si="119">SUM(E235:G235)</f>
        <v>845.21799999999996</v>
      </c>
      <c r="Q235" s="89">
        <f t="shared" ref="Q235:Q244" si="120">SUM(H235:J235)</f>
        <v>435.31900000000002</v>
      </c>
      <c r="R235" s="89">
        <f t="shared" ref="R235:R246" si="121">SUM(K235:M235)</f>
        <v>4107.7780000000002</v>
      </c>
      <c r="S235" s="89">
        <f t="shared" si="95"/>
        <v>7947.3090000000002</v>
      </c>
      <c r="T235" s="49"/>
      <c r="U235" s="89">
        <f t="shared" si="116"/>
        <v>8152.1560000000009</v>
      </c>
    </row>
    <row r="236" spans="1:21" x14ac:dyDescent="0.2">
      <c r="A236" s="132">
        <v>2009</v>
      </c>
      <c r="B236" s="89">
        <f t="shared" ref="B236:M236" si="122">B168+B202</f>
        <v>995.32399999999996</v>
      </c>
      <c r="C236" s="89">
        <f t="shared" si="122"/>
        <v>769.77100000000007</v>
      </c>
      <c r="D236" s="89">
        <f t="shared" si="122"/>
        <v>581.53</v>
      </c>
      <c r="E236" s="89">
        <f t="shared" si="122"/>
        <v>299.31700000000001</v>
      </c>
      <c r="F236" s="89">
        <f t="shared" si="122"/>
        <v>184.46599999999998</v>
      </c>
      <c r="G236" s="89">
        <f t="shared" si="122"/>
        <v>78.86</v>
      </c>
      <c r="H236" s="89">
        <f t="shared" si="122"/>
        <v>71.744</v>
      </c>
      <c r="I236" s="89">
        <f t="shared" si="122"/>
        <v>75.947000000000003</v>
      </c>
      <c r="J236" s="89">
        <f t="shared" si="122"/>
        <v>366.18899999999996</v>
      </c>
      <c r="K236" s="89">
        <f t="shared" si="122"/>
        <v>1192.3399999999999</v>
      </c>
      <c r="L236" s="89">
        <f t="shared" si="122"/>
        <v>1516.9960000000001</v>
      </c>
      <c r="M236" s="89">
        <f t="shared" si="122"/>
        <v>1405.0129999999999</v>
      </c>
      <c r="N236" s="89"/>
      <c r="O236" s="89">
        <f t="shared" si="113"/>
        <v>2346.625</v>
      </c>
      <c r="P236" s="89">
        <f t="shared" si="119"/>
        <v>562.64300000000003</v>
      </c>
      <c r="Q236" s="89">
        <f t="shared" si="120"/>
        <v>513.88</v>
      </c>
      <c r="R236" s="89">
        <f t="shared" si="121"/>
        <v>4114.3490000000002</v>
      </c>
      <c r="S236" s="89">
        <f t="shared" si="95"/>
        <v>7537.4969999999994</v>
      </c>
      <c r="T236" s="49"/>
      <c r="U236" s="89">
        <f t="shared" si="116"/>
        <v>7530.9260000000004</v>
      </c>
    </row>
    <row r="237" spans="1:21" x14ac:dyDescent="0.2">
      <c r="A237" s="132">
        <v>2010</v>
      </c>
      <c r="B237" s="89">
        <f t="shared" ref="B237:M237" si="123">B169+B203</f>
        <v>1128.691</v>
      </c>
      <c r="C237" s="89">
        <f t="shared" si="123"/>
        <v>727.13099999999997</v>
      </c>
      <c r="D237" s="89">
        <f t="shared" si="123"/>
        <v>608.21600000000001</v>
      </c>
      <c r="E237" s="89">
        <f t="shared" si="123"/>
        <v>407.92500000000001</v>
      </c>
      <c r="F237" s="89">
        <f t="shared" si="123"/>
        <v>140.167</v>
      </c>
      <c r="G237" s="89">
        <f t="shared" si="123"/>
        <v>78.736999999999995</v>
      </c>
      <c r="H237" s="89">
        <f t="shared" si="123"/>
        <v>73.412000000000006</v>
      </c>
      <c r="I237" s="89">
        <f t="shared" si="123"/>
        <v>191.28399999999999</v>
      </c>
      <c r="J237" s="89">
        <f t="shared" si="123"/>
        <v>492.726</v>
      </c>
      <c r="K237" s="89">
        <f t="shared" si="123"/>
        <v>1422.9349999999999</v>
      </c>
      <c r="L237" s="89">
        <f t="shared" si="123"/>
        <v>1608.1100000000001</v>
      </c>
      <c r="M237" s="89">
        <f t="shared" si="123"/>
        <v>1542.212</v>
      </c>
      <c r="N237" s="89"/>
      <c r="O237" s="89">
        <f t="shared" si="113"/>
        <v>2464.038</v>
      </c>
      <c r="P237" s="89">
        <f t="shared" si="119"/>
        <v>626.82899999999995</v>
      </c>
      <c r="Q237" s="89">
        <f t="shared" si="120"/>
        <v>757.42200000000003</v>
      </c>
      <c r="R237" s="89">
        <f t="shared" si="121"/>
        <v>4573.2569999999996</v>
      </c>
      <c r="S237" s="89">
        <f t="shared" si="95"/>
        <v>8421.5460000000003</v>
      </c>
      <c r="T237" s="49"/>
      <c r="U237" s="89">
        <f t="shared" si="116"/>
        <v>7962.6380000000008</v>
      </c>
    </row>
    <row r="238" spans="1:21" x14ac:dyDescent="0.2">
      <c r="A238" s="132">
        <v>2011</v>
      </c>
      <c r="B238" s="89">
        <f t="shared" ref="B238:M238" si="124">B170+B204</f>
        <v>997.95499999999993</v>
      </c>
      <c r="C238" s="89">
        <f t="shared" si="124"/>
        <v>727.43899999999996</v>
      </c>
      <c r="D238" s="89">
        <f t="shared" si="124"/>
        <v>520.54600000000005</v>
      </c>
      <c r="E238" s="89">
        <f t="shared" si="124"/>
        <v>341.24100000000004</v>
      </c>
      <c r="F238" s="89">
        <f t="shared" si="124"/>
        <v>136.75400000000002</v>
      </c>
      <c r="G238" s="89">
        <f t="shared" si="124"/>
        <v>85.814999999999998</v>
      </c>
      <c r="H238" s="89">
        <f t="shared" si="124"/>
        <v>84.347999999999999</v>
      </c>
      <c r="I238" s="89">
        <f t="shared" si="124"/>
        <v>94.477000000000004</v>
      </c>
      <c r="J238" s="89">
        <f t="shared" si="124"/>
        <v>268.851</v>
      </c>
      <c r="K238" s="89">
        <f t="shared" si="124"/>
        <v>1276.9950000000001</v>
      </c>
      <c r="L238" s="89">
        <f t="shared" si="124"/>
        <v>1583.239</v>
      </c>
      <c r="M238" s="89">
        <f t="shared" si="124"/>
        <v>1482.748</v>
      </c>
      <c r="N238" s="89"/>
      <c r="O238" s="89">
        <f t="shared" si="113"/>
        <v>2245.9399999999996</v>
      </c>
      <c r="P238" s="89">
        <f t="shared" si="119"/>
        <v>563.81000000000006</v>
      </c>
      <c r="Q238" s="89">
        <f t="shared" si="120"/>
        <v>447.67599999999999</v>
      </c>
      <c r="R238" s="89">
        <f t="shared" si="121"/>
        <v>4342.982</v>
      </c>
      <c r="S238" s="89">
        <f t="shared" si="95"/>
        <v>7600.4079999999994</v>
      </c>
      <c r="T238" s="49"/>
      <c r="U238" s="89">
        <f t="shared" si="116"/>
        <v>7830.683</v>
      </c>
    </row>
    <row r="239" spans="1:21" x14ac:dyDescent="0.2">
      <c r="A239" s="132">
        <v>2012</v>
      </c>
      <c r="B239" s="89">
        <f t="shared" ref="B239:M239" si="125">B171+B205</f>
        <v>1122.8159999999998</v>
      </c>
      <c r="C239" s="89">
        <f t="shared" si="125"/>
        <v>915.48399999999992</v>
      </c>
      <c r="D239" s="89">
        <f t="shared" si="125"/>
        <v>729.51</v>
      </c>
      <c r="E239" s="89">
        <f t="shared" si="125"/>
        <v>327.87400000000002</v>
      </c>
      <c r="F239" s="89">
        <f t="shared" si="125"/>
        <v>87.563000000000002</v>
      </c>
      <c r="G239" s="89">
        <f t="shared" si="125"/>
        <v>75.468000000000004</v>
      </c>
      <c r="H239" s="89">
        <f t="shared" si="125"/>
        <v>78.099000000000004</v>
      </c>
      <c r="I239" s="89">
        <f t="shared" si="125"/>
        <v>202.59100000000001</v>
      </c>
      <c r="J239" s="89">
        <f t="shared" si="125"/>
        <v>601.63100000000009</v>
      </c>
      <c r="K239" s="89">
        <f t="shared" si="125"/>
        <v>1468.9700000000003</v>
      </c>
      <c r="L239" s="89">
        <f t="shared" si="125"/>
        <v>1712.213</v>
      </c>
      <c r="M239" s="89">
        <f t="shared" si="125"/>
        <v>1678.6390000000001</v>
      </c>
      <c r="N239" s="89"/>
      <c r="O239" s="89">
        <f t="shared" si="113"/>
        <v>2767.8099999999995</v>
      </c>
      <c r="P239" s="89">
        <f t="shared" si="119"/>
        <v>490.90500000000003</v>
      </c>
      <c r="Q239" s="89">
        <f t="shared" si="120"/>
        <v>882.32100000000014</v>
      </c>
      <c r="R239" s="89">
        <f t="shared" si="121"/>
        <v>4859.8220000000001</v>
      </c>
      <c r="S239" s="89">
        <f t="shared" si="95"/>
        <v>9000.8580000000002</v>
      </c>
      <c r="T239" s="49"/>
      <c r="U239" s="89">
        <f t="shared" si="116"/>
        <v>8484.018</v>
      </c>
    </row>
    <row r="240" spans="1:21" x14ac:dyDescent="0.2">
      <c r="A240" s="132">
        <v>2013</v>
      </c>
      <c r="B240" s="89">
        <f t="shared" ref="B240:M240" si="126">B172+B206</f>
        <v>1171.1600000000001</v>
      </c>
      <c r="C240" s="89">
        <f t="shared" si="126"/>
        <v>820.96299999999997</v>
      </c>
      <c r="D240" s="89">
        <f t="shared" si="126"/>
        <v>860.58399999999995</v>
      </c>
      <c r="E240" s="89">
        <f t="shared" si="126"/>
        <v>511.53399999999999</v>
      </c>
      <c r="F240" s="89">
        <f t="shared" si="126"/>
        <v>210.12900000000002</v>
      </c>
      <c r="G240" s="89">
        <f t="shared" si="126"/>
        <v>105.291</v>
      </c>
      <c r="H240" s="89">
        <f t="shared" si="126"/>
        <v>64.045999999999992</v>
      </c>
      <c r="I240" s="89">
        <f t="shared" si="126"/>
        <v>65.34899999999999</v>
      </c>
      <c r="J240" s="89">
        <f t="shared" si="126"/>
        <v>312.79199999999997</v>
      </c>
      <c r="K240" s="89">
        <f t="shared" si="126"/>
        <v>1325.7739999999999</v>
      </c>
      <c r="L240" s="89">
        <f t="shared" si="126"/>
        <v>1647.308</v>
      </c>
      <c r="M240" s="89">
        <f t="shared" si="126"/>
        <v>1638.203</v>
      </c>
      <c r="N240" s="89"/>
      <c r="O240" s="89">
        <f t="shared" si="113"/>
        <v>2852.7069999999999</v>
      </c>
      <c r="P240" s="89">
        <f t="shared" si="119"/>
        <v>826.95399999999995</v>
      </c>
      <c r="Q240" s="89">
        <f t="shared" si="120"/>
        <v>442.18699999999995</v>
      </c>
      <c r="R240" s="89">
        <f t="shared" si="121"/>
        <v>4611.2849999999999</v>
      </c>
      <c r="S240" s="89">
        <f t="shared" si="95"/>
        <v>8733.1329999999998</v>
      </c>
      <c r="T240" s="49"/>
      <c r="U240" s="89">
        <f t="shared" si="116"/>
        <v>8981.67</v>
      </c>
    </row>
    <row r="241" spans="1:21" x14ac:dyDescent="0.2">
      <c r="A241" s="132">
        <v>2014</v>
      </c>
      <c r="B241" s="89">
        <f t="shared" ref="B241:M241" si="127">B173+B207</f>
        <v>1009.1</v>
      </c>
      <c r="C241" s="89">
        <f t="shared" si="127"/>
        <v>758.97499999999991</v>
      </c>
      <c r="D241" s="89">
        <f t="shared" si="127"/>
        <v>693.31600000000003</v>
      </c>
      <c r="E241" s="89">
        <f t="shared" si="127"/>
        <v>427.68899999999996</v>
      </c>
      <c r="F241" s="89">
        <f t="shared" si="127"/>
        <v>259.86400000000003</v>
      </c>
      <c r="G241" s="89">
        <f t="shared" si="127"/>
        <v>104.664</v>
      </c>
      <c r="H241" s="89">
        <f t="shared" si="127"/>
        <v>75.132000000000005</v>
      </c>
      <c r="I241" s="89">
        <f t="shared" si="127"/>
        <v>89.736000000000004</v>
      </c>
      <c r="J241" s="89">
        <f t="shared" si="127"/>
        <v>431.971</v>
      </c>
      <c r="K241" s="89">
        <f t="shared" si="127"/>
        <v>1394.261</v>
      </c>
      <c r="L241" s="89">
        <f t="shared" si="127"/>
        <v>1724.355</v>
      </c>
      <c r="M241" s="89">
        <f t="shared" si="127"/>
        <v>1542.6950000000002</v>
      </c>
      <c r="N241" s="89"/>
      <c r="O241" s="89">
        <f t="shared" si="113"/>
        <v>2461.3909999999996</v>
      </c>
      <c r="P241" s="89">
        <f t="shared" si="119"/>
        <v>792.21699999999998</v>
      </c>
      <c r="Q241" s="89">
        <f t="shared" si="120"/>
        <v>596.83899999999994</v>
      </c>
      <c r="R241" s="89">
        <f t="shared" si="121"/>
        <v>4661.3109999999997</v>
      </c>
      <c r="S241" s="89">
        <f t="shared" si="95"/>
        <v>8511.7579999999998</v>
      </c>
      <c r="T241" s="49"/>
      <c r="U241" s="89">
        <f t="shared" si="116"/>
        <v>8461.732</v>
      </c>
    </row>
    <row r="242" spans="1:21" x14ac:dyDescent="0.2">
      <c r="A242" s="132">
        <v>2015</v>
      </c>
      <c r="B242" s="89">
        <f t="shared" ref="B242:M242" si="128">B174+B208</f>
        <v>1042.5900000000001</v>
      </c>
      <c r="C242" s="89">
        <f t="shared" si="128"/>
        <v>817.85799999999995</v>
      </c>
      <c r="D242" s="89">
        <f t="shared" si="128"/>
        <v>755.27700000000004</v>
      </c>
      <c r="E242" s="89">
        <f t="shared" si="128"/>
        <v>372.95499999999998</v>
      </c>
      <c r="F242" s="89">
        <f t="shared" si="128"/>
        <v>78.582999999999998</v>
      </c>
      <c r="G242" s="89">
        <f t="shared" si="128"/>
        <v>113.077</v>
      </c>
      <c r="H242" s="89">
        <f t="shared" si="128"/>
        <v>79.549000000000007</v>
      </c>
      <c r="I242" s="89">
        <f t="shared" si="128"/>
        <v>200.83599999999998</v>
      </c>
      <c r="J242" s="89">
        <f t="shared" si="128"/>
        <v>534.07600000000002</v>
      </c>
      <c r="K242" s="89">
        <f t="shared" si="128"/>
        <v>1463.2180000000001</v>
      </c>
      <c r="L242" s="89">
        <f t="shared" si="128"/>
        <v>1583.8440000000001</v>
      </c>
      <c r="M242" s="89">
        <f t="shared" si="128"/>
        <v>1458.3579999999999</v>
      </c>
      <c r="N242" s="89"/>
      <c r="O242" s="89">
        <f t="shared" si="113"/>
        <v>2615.7250000000004</v>
      </c>
      <c r="P242" s="89">
        <f t="shared" si="119"/>
        <v>564.61500000000001</v>
      </c>
      <c r="Q242" s="89">
        <f t="shared" si="120"/>
        <v>814.46100000000001</v>
      </c>
      <c r="R242" s="89">
        <f t="shared" si="121"/>
        <v>4505.42</v>
      </c>
      <c r="S242" s="89">
        <f t="shared" si="95"/>
        <v>8500.2209999999995</v>
      </c>
      <c r="T242" s="49"/>
      <c r="U242" s="89">
        <f t="shared" si="116"/>
        <v>8656.1119999999992</v>
      </c>
    </row>
    <row r="243" spans="1:21" x14ac:dyDescent="0.2">
      <c r="A243" s="132">
        <v>2016</v>
      </c>
      <c r="B243" s="89">
        <f t="shared" ref="B243:M243" si="129">B175+B209</f>
        <v>937.50199999999995</v>
      </c>
      <c r="C243" s="89">
        <f t="shared" si="129"/>
        <v>845.11099999999999</v>
      </c>
      <c r="D243" s="89">
        <f t="shared" si="129"/>
        <v>889.4559999999999</v>
      </c>
      <c r="E243" s="89">
        <f t="shared" si="129"/>
        <v>691.524</v>
      </c>
      <c r="F243" s="89">
        <f t="shared" si="129"/>
        <v>311.93399999999997</v>
      </c>
      <c r="G243" s="89">
        <f t="shared" si="129"/>
        <v>72.954999999999998</v>
      </c>
      <c r="H243" s="89">
        <f t="shared" si="129"/>
        <v>71.17</v>
      </c>
      <c r="I243" s="89">
        <f t="shared" si="129"/>
        <v>166.73400000000001</v>
      </c>
      <c r="J243" s="89">
        <f t="shared" si="129"/>
        <v>497.07400000000001</v>
      </c>
      <c r="K243" s="89">
        <f t="shared" si="129"/>
        <v>1481.046</v>
      </c>
      <c r="L243" s="89">
        <f t="shared" si="129"/>
        <v>1658.0030000000002</v>
      </c>
      <c r="M243" s="89">
        <f t="shared" si="129"/>
        <v>1514.491</v>
      </c>
      <c r="N243" s="89"/>
      <c r="O243" s="89">
        <f t="shared" si="113"/>
        <v>2672.0689999999995</v>
      </c>
      <c r="P243" s="89">
        <f t="shared" si="119"/>
        <v>1076.413</v>
      </c>
      <c r="Q243" s="89">
        <f t="shared" si="120"/>
        <v>734.97800000000007</v>
      </c>
      <c r="R243" s="89">
        <f t="shared" si="121"/>
        <v>4653.54</v>
      </c>
      <c r="S243" s="89">
        <f t="shared" si="95"/>
        <v>9137</v>
      </c>
      <c r="T243" s="49"/>
      <c r="U243" s="89">
        <f t="shared" si="116"/>
        <v>8988.880000000001</v>
      </c>
    </row>
    <row r="244" spans="1:21" x14ac:dyDescent="0.2">
      <c r="A244" s="132">
        <v>2017</v>
      </c>
      <c r="B244" s="89">
        <f t="shared" ref="B244:M244" si="130">B176+B210</f>
        <v>1007.038</v>
      </c>
      <c r="C244" s="89">
        <f t="shared" si="130"/>
        <v>878.10799999999995</v>
      </c>
      <c r="D244" s="89">
        <f t="shared" si="130"/>
        <v>818.90200000000004</v>
      </c>
      <c r="E244" s="89">
        <f t="shared" si="130"/>
        <v>517.66200000000003</v>
      </c>
      <c r="F244" s="89">
        <f t="shared" si="130"/>
        <v>224.77500000000001</v>
      </c>
      <c r="G244" s="89">
        <f t="shared" si="130"/>
        <v>69.010999999999996</v>
      </c>
      <c r="H244" s="89">
        <f t="shared" si="130"/>
        <v>50.988</v>
      </c>
      <c r="I244" s="89">
        <f t="shared" si="130"/>
        <v>172.78299999999999</v>
      </c>
      <c r="J244" s="89">
        <f t="shared" si="130"/>
        <v>576.79</v>
      </c>
      <c r="K244" s="89">
        <f t="shared" si="130"/>
        <v>1414.66</v>
      </c>
      <c r="L244" s="89">
        <f t="shared" si="130"/>
        <v>1648.4390000000001</v>
      </c>
      <c r="M244" s="89">
        <f t="shared" si="130"/>
        <v>1629.471</v>
      </c>
      <c r="N244" s="89"/>
      <c r="O244" s="89">
        <f t="shared" si="113"/>
        <v>2704.0479999999998</v>
      </c>
      <c r="P244" s="89">
        <f t="shared" si="119"/>
        <v>811.44799999999998</v>
      </c>
      <c r="Q244" s="89">
        <f t="shared" si="120"/>
        <v>800.56099999999992</v>
      </c>
      <c r="R244" s="89">
        <f t="shared" si="121"/>
        <v>4692.57</v>
      </c>
      <c r="S244" s="89">
        <f t="shared" si="95"/>
        <v>9008.6270000000004</v>
      </c>
      <c r="T244" s="49"/>
      <c r="U244" s="89">
        <f t="shared" si="116"/>
        <v>8969.5969999999998</v>
      </c>
    </row>
    <row r="245" spans="1:21" x14ac:dyDescent="0.2">
      <c r="A245" s="132">
        <v>2018</v>
      </c>
      <c r="B245" s="89">
        <f t="shared" ref="B245:M245" si="131">B177+B211</f>
        <v>1144.9299999999998</v>
      </c>
      <c r="C245" s="89">
        <f t="shared" si="131"/>
        <v>855.54399999999998</v>
      </c>
      <c r="D245" s="89">
        <f t="shared" si="131"/>
        <v>853.06400000000008</v>
      </c>
      <c r="E245" s="89">
        <f t="shared" si="131"/>
        <v>531.53800000000001</v>
      </c>
      <c r="F245" s="89">
        <f t="shared" si="131"/>
        <v>352.16599999999994</v>
      </c>
      <c r="G245" s="89">
        <f t="shared" si="131"/>
        <v>88.858999999999995</v>
      </c>
      <c r="H245" s="89">
        <f t="shared" si="131"/>
        <v>86.700999999999993</v>
      </c>
      <c r="I245" s="89">
        <f t="shared" si="131"/>
        <v>144.214</v>
      </c>
      <c r="J245" s="89">
        <f t="shared" si="131"/>
        <v>542.91200000000003</v>
      </c>
      <c r="K245" s="89">
        <f t="shared" si="131"/>
        <v>1482.078</v>
      </c>
      <c r="L245" s="89">
        <f t="shared" si="131"/>
        <v>1673.09</v>
      </c>
      <c r="M245" s="89">
        <f t="shared" si="131"/>
        <v>1640.7759999999998</v>
      </c>
      <c r="N245" s="89"/>
      <c r="O245" s="89">
        <f t="shared" si="113"/>
        <v>2853.5379999999996</v>
      </c>
      <c r="P245" s="89">
        <f t="shared" si="119"/>
        <v>972.56299999999999</v>
      </c>
      <c r="Q245" s="89">
        <f t="shared" ref="Q245:Q249" si="132">SUM(H245:J245)</f>
        <v>773.827</v>
      </c>
      <c r="R245" s="89">
        <f t="shared" si="121"/>
        <v>4795.9439999999995</v>
      </c>
      <c r="S245" s="89">
        <f t="shared" si="95"/>
        <v>9395.8719999999994</v>
      </c>
      <c r="T245" s="49"/>
      <c r="U245" s="89">
        <f t="shared" si="116"/>
        <v>9292.4979999999978</v>
      </c>
    </row>
    <row r="246" spans="1:21" x14ac:dyDescent="0.2">
      <c r="A246" s="132">
        <v>2019</v>
      </c>
      <c r="B246" s="89">
        <f t="shared" ref="B246:M246" si="133">B178+B212</f>
        <v>1175.7350000000001</v>
      </c>
      <c r="C246" s="89">
        <f t="shared" si="133"/>
        <v>773.87799999999993</v>
      </c>
      <c r="D246" s="89">
        <f t="shared" si="133"/>
        <v>751.22900000000004</v>
      </c>
      <c r="E246" s="89">
        <f t="shared" si="133"/>
        <v>503.00400000000002</v>
      </c>
      <c r="F246" s="89">
        <f t="shared" si="133"/>
        <v>235.34299999999999</v>
      </c>
      <c r="G246" s="89">
        <f t="shared" si="133"/>
        <v>71.144000000000005</v>
      </c>
      <c r="H246" s="89">
        <f t="shared" si="133"/>
        <v>47.3</v>
      </c>
      <c r="I246" s="89">
        <f t="shared" si="133"/>
        <v>144.06800000000001</v>
      </c>
      <c r="J246" s="89">
        <f t="shared" si="133"/>
        <v>500.94500000000005</v>
      </c>
      <c r="K246" s="89">
        <f t="shared" si="133"/>
        <v>1394.895</v>
      </c>
      <c r="L246" s="89">
        <f t="shared" si="133"/>
        <v>1531.1089999999999</v>
      </c>
      <c r="M246" s="89">
        <f t="shared" si="133"/>
        <v>1390.115</v>
      </c>
      <c r="N246" s="89"/>
      <c r="O246" s="89">
        <f t="shared" si="113"/>
        <v>2700.8420000000001</v>
      </c>
      <c r="P246" s="89">
        <f t="shared" si="119"/>
        <v>809.49099999999999</v>
      </c>
      <c r="Q246" s="89">
        <f t="shared" si="132"/>
        <v>692.3130000000001</v>
      </c>
      <c r="R246" s="89">
        <f t="shared" si="121"/>
        <v>4316.1189999999997</v>
      </c>
      <c r="S246" s="89">
        <f t="shared" si="95"/>
        <v>8518.7649999999994</v>
      </c>
      <c r="T246" s="49"/>
      <c r="U246" s="89">
        <f t="shared" ref="U246:U251" si="134">R245+O246+P246+Q246</f>
        <v>8998.59</v>
      </c>
    </row>
    <row r="247" spans="1:21" x14ac:dyDescent="0.2">
      <c r="A247" s="132">
        <v>2020</v>
      </c>
      <c r="B247" s="89">
        <f t="shared" ref="B247:M247" si="135">B179+B213</f>
        <v>934.00799999999992</v>
      </c>
      <c r="C247" s="89">
        <f t="shared" si="135"/>
        <v>761.15300000000002</v>
      </c>
      <c r="D247" s="89">
        <f t="shared" si="135"/>
        <v>702.2650000000001</v>
      </c>
      <c r="E247" s="89">
        <f t="shared" si="135"/>
        <v>287.95400000000001</v>
      </c>
      <c r="F247" s="89">
        <f t="shared" si="135"/>
        <v>190.82300000000001</v>
      </c>
      <c r="G247" s="89">
        <f t="shared" si="135"/>
        <v>60.649000000000001</v>
      </c>
      <c r="H247" s="89">
        <f t="shared" si="135"/>
        <v>60.93</v>
      </c>
      <c r="I247" s="89">
        <f t="shared" si="135"/>
        <v>190.99799999999999</v>
      </c>
      <c r="J247" s="89">
        <f t="shared" si="135"/>
        <v>644.06200000000001</v>
      </c>
      <c r="K247" s="89">
        <f t="shared" si="135"/>
        <v>1423.5581999999999</v>
      </c>
      <c r="L247" s="89">
        <f t="shared" si="135"/>
        <v>1585.6779000000001</v>
      </c>
      <c r="M247" s="89">
        <f t="shared" si="135"/>
        <v>1627.4303500000001</v>
      </c>
      <c r="N247" s="89"/>
      <c r="O247" s="89">
        <f>SUM(B247:D247)</f>
        <v>2397.4260000000004</v>
      </c>
      <c r="P247" s="89">
        <f t="shared" si="119"/>
        <v>539.42600000000004</v>
      </c>
      <c r="Q247" s="89">
        <f t="shared" si="132"/>
        <v>895.99</v>
      </c>
      <c r="R247" s="89">
        <f>SUM(K247:M247)</f>
        <v>4636.6664500000006</v>
      </c>
      <c r="S247" s="89">
        <f t="shared" si="95"/>
        <v>8469.5084500000012</v>
      </c>
      <c r="T247" s="49"/>
      <c r="U247" s="89">
        <f t="shared" si="134"/>
        <v>8148.9610000000002</v>
      </c>
    </row>
    <row r="248" spans="1:21" x14ac:dyDescent="0.2">
      <c r="A248" s="132">
        <v>2021</v>
      </c>
      <c r="B248" s="89">
        <f t="shared" ref="B248:M248" si="136">B180+B214</f>
        <v>1324.8996999999999</v>
      </c>
      <c r="C248" s="89">
        <f t="shared" si="136"/>
        <v>873.35509999999999</v>
      </c>
      <c r="D248" s="89">
        <f t="shared" si="136"/>
        <v>786.85699999999997</v>
      </c>
      <c r="E248" s="89">
        <f t="shared" si="136"/>
        <v>437.59199999999998</v>
      </c>
      <c r="F248" s="89">
        <f t="shared" si="136"/>
        <v>350.54599999999999</v>
      </c>
      <c r="G248" s="89">
        <f t="shared" si="136"/>
        <v>60.521000000000001</v>
      </c>
      <c r="H248" s="89">
        <f t="shared" si="136"/>
        <v>74.832999999999998</v>
      </c>
      <c r="I248" s="89">
        <f t="shared" si="136"/>
        <v>113.744</v>
      </c>
      <c r="J248" s="89">
        <f t="shared" si="136"/>
        <v>574.20399999999995</v>
      </c>
      <c r="K248" s="124">
        <f t="shared" si="136"/>
        <v>1274.922</v>
      </c>
      <c r="L248" s="124">
        <f t="shared" si="136"/>
        <v>1659.7159999999999</v>
      </c>
      <c r="M248" s="124">
        <f t="shared" si="136"/>
        <v>1687.3420000000001</v>
      </c>
      <c r="N248" s="89"/>
      <c r="O248" s="89">
        <f>SUM(B248:D248)</f>
        <v>2985.1117999999997</v>
      </c>
      <c r="P248" s="89">
        <f>SUM(E248:G248)</f>
        <v>848.65899999999988</v>
      </c>
      <c r="Q248" s="124">
        <f t="shared" si="132"/>
        <v>762.78099999999995</v>
      </c>
      <c r="R248" s="124">
        <f>SUM(K248:M248)</f>
        <v>4621.9799999999996</v>
      </c>
      <c r="S248" s="124">
        <f t="shared" si="95"/>
        <v>9218.5318000000007</v>
      </c>
      <c r="T248" s="124"/>
      <c r="U248" s="89">
        <f t="shared" si="134"/>
        <v>9233.2182500000017</v>
      </c>
    </row>
    <row r="249" spans="1:21" x14ac:dyDescent="0.2">
      <c r="A249" s="132">
        <v>2022</v>
      </c>
      <c r="B249" s="89">
        <f t="shared" ref="B249:M249" si="137">B181+B215</f>
        <v>1205.9360000000001</v>
      </c>
      <c r="C249" s="124">
        <f t="shared" si="137"/>
        <v>844.66200000000003</v>
      </c>
      <c r="D249" s="124">
        <f t="shared" si="137"/>
        <v>876.06299999999999</v>
      </c>
      <c r="E249" s="124">
        <f t="shared" si="137"/>
        <v>524.18200000000002</v>
      </c>
      <c r="F249" s="124">
        <f t="shared" si="137"/>
        <v>316.39</v>
      </c>
      <c r="G249" s="124">
        <f t="shared" si="137"/>
        <v>92.058000000000007</v>
      </c>
      <c r="H249" s="124">
        <f t="shared" si="137"/>
        <v>64.162000000000006</v>
      </c>
      <c r="I249" s="124">
        <f t="shared" si="137"/>
        <v>120.119</v>
      </c>
      <c r="J249" s="124">
        <f t="shared" si="137"/>
        <v>491.702</v>
      </c>
      <c r="K249" s="124">
        <f t="shared" si="137"/>
        <v>1428.067</v>
      </c>
      <c r="L249" s="124">
        <f t="shared" si="137"/>
        <v>1609.4560000000001</v>
      </c>
      <c r="M249" s="124">
        <f t="shared" si="137"/>
        <v>1686.126</v>
      </c>
      <c r="N249" s="124"/>
      <c r="O249" s="124">
        <f>SUM(B249:D249)</f>
        <v>2926.6610000000001</v>
      </c>
      <c r="P249" s="124">
        <f>SUM(E249:G249)</f>
        <v>932.63</v>
      </c>
      <c r="Q249" s="124">
        <f t="shared" si="132"/>
        <v>675.98299999999995</v>
      </c>
      <c r="R249" s="124">
        <f>SUM(K249:M249)</f>
        <v>4723.6490000000003</v>
      </c>
      <c r="S249" s="124">
        <f t="shared" si="95"/>
        <v>9258.9229999999989</v>
      </c>
      <c r="T249" s="124"/>
      <c r="U249" s="89">
        <f t="shared" si="134"/>
        <v>9157.253999999999</v>
      </c>
    </row>
    <row r="250" spans="1:21" x14ac:dyDescent="0.2">
      <c r="A250" s="132">
        <v>2023</v>
      </c>
      <c r="B250" s="89">
        <f t="shared" ref="B250:M251" si="138">B182+B216</f>
        <v>1188.3020000000001</v>
      </c>
      <c r="C250" s="89">
        <f t="shared" si="138"/>
        <v>807.57500000000005</v>
      </c>
      <c r="D250" s="124">
        <f t="shared" si="138"/>
        <v>817.08600000000001</v>
      </c>
      <c r="E250" s="124">
        <f t="shared" si="138"/>
        <v>559.04600000000005</v>
      </c>
      <c r="F250" s="124">
        <f t="shared" si="138"/>
        <v>329.75199999999995</v>
      </c>
      <c r="G250" s="124">
        <f t="shared" si="138"/>
        <v>104.045</v>
      </c>
      <c r="H250" s="124">
        <f t="shared" si="138"/>
        <v>52.555999999999997</v>
      </c>
      <c r="I250" s="124">
        <f t="shared" si="138"/>
        <v>125.876</v>
      </c>
      <c r="J250" s="124">
        <f t="shared" si="138"/>
        <v>542.5870000000001</v>
      </c>
      <c r="K250" s="124">
        <f t="shared" si="138"/>
        <v>1366.8519999999999</v>
      </c>
      <c r="L250" s="124">
        <f t="shared" si="138"/>
        <v>1617.069</v>
      </c>
      <c r="M250" s="124">
        <f t="shared" si="138"/>
        <v>1663.539</v>
      </c>
      <c r="N250" s="49"/>
      <c r="O250" s="124">
        <f>SUM(B250:D250)</f>
        <v>2812.9630000000002</v>
      </c>
      <c r="P250" s="124">
        <f>SUM(E250:G250)</f>
        <v>992.84299999999996</v>
      </c>
      <c r="Q250" s="124">
        <f t="shared" ref="Q250:Q251" si="139">SUM(H250:J250)</f>
        <v>721.01900000000012</v>
      </c>
      <c r="R250" s="124">
        <f>SUM(K250:M250)</f>
        <v>4647.46</v>
      </c>
      <c r="S250" s="124">
        <f t="shared" si="95"/>
        <v>9174.2849999999999</v>
      </c>
      <c r="T250" s="49"/>
      <c r="U250" s="124">
        <f t="shared" si="134"/>
        <v>9250.474000000002</v>
      </c>
    </row>
    <row r="251" spans="1:21" x14ac:dyDescent="0.2">
      <c r="A251" s="219">
        <v>2024</v>
      </c>
      <c r="B251" s="209">
        <f>B183+B217</f>
        <v>1082.838</v>
      </c>
      <c r="C251" s="190">
        <f t="shared" si="138"/>
        <v>817.56099999999992</v>
      </c>
      <c r="D251" s="190">
        <f t="shared" si="138"/>
        <v>771.59299999999996</v>
      </c>
      <c r="E251" s="190">
        <f t="shared" si="138"/>
        <v>668.86699999999996</v>
      </c>
      <c r="F251" s="190">
        <f t="shared" si="138"/>
        <v>353.21000000000004</v>
      </c>
      <c r="G251" s="190">
        <f t="shared" si="138"/>
        <v>84.824999999999989</v>
      </c>
      <c r="H251" s="190">
        <f t="shared" si="138"/>
        <v>70.849000000000004</v>
      </c>
      <c r="I251" s="190">
        <f t="shared" si="138"/>
        <v>137.107</v>
      </c>
      <c r="J251" s="190">
        <f t="shared" si="138"/>
        <v>670.66699999999992</v>
      </c>
      <c r="K251" s="190">
        <f t="shared" si="138"/>
        <v>1513.6239999999998</v>
      </c>
      <c r="L251" s="190">
        <f t="shared" si="138"/>
        <v>1668.451</v>
      </c>
      <c r="M251" s="190" t="s">
        <v>152</v>
      </c>
      <c r="N251" s="129"/>
      <c r="O251" s="190">
        <f>SUM(B251:D251)</f>
        <v>2671.9919999999997</v>
      </c>
      <c r="P251" s="190">
        <f>SUM(E251:G251)</f>
        <v>1106.902</v>
      </c>
      <c r="Q251" s="190">
        <f t="shared" si="139"/>
        <v>878.62299999999993</v>
      </c>
      <c r="R251" s="190" t="s">
        <v>152</v>
      </c>
      <c r="S251" s="190" t="s">
        <v>152</v>
      </c>
      <c r="T251" s="129"/>
      <c r="U251" s="190">
        <f t="shared" si="134"/>
        <v>9304.976999999999</v>
      </c>
    </row>
    <row r="252" spans="1:21" x14ac:dyDescent="0.2">
      <c r="A252" s="207" t="s">
        <v>340</v>
      </c>
      <c r="B252" s="182"/>
      <c r="C252" s="182"/>
      <c r="D252" s="182"/>
      <c r="E252" s="182"/>
      <c r="F252" s="182"/>
      <c r="G252" s="182"/>
      <c r="H252" s="182"/>
      <c r="I252" s="182"/>
      <c r="J252" s="182"/>
      <c r="K252" s="182"/>
      <c r="L252" s="183"/>
      <c r="M252" s="183"/>
      <c r="N252" s="183"/>
      <c r="O252" s="184"/>
      <c r="P252" s="184"/>
      <c r="Q252" s="184"/>
      <c r="R252" s="184"/>
      <c r="S252" s="184"/>
      <c r="T252" s="185"/>
      <c r="U252" s="184"/>
    </row>
    <row r="253" spans="1:21" ht="12.75" customHeight="1" x14ac:dyDescent="0.2">
      <c r="A253" s="107" t="s">
        <v>182</v>
      </c>
      <c r="B253" s="182"/>
      <c r="C253" s="182"/>
      <c r="D253" s="182"/>
      <c r="E253" s="182"/>
      <c r="F253" s="182"/>
      <c r="G253" s="182"/>
      <c r="H253" s="182"/>
      <c r="I253" s="182"/>
      <c r="J253" s="182"/>
      <c r="K253" s="182"/>
      <c r="L253" s="183"/>
      <c r="M253" s="183"/>
      <c r="N253" s="183"/>
      <c r="O253" s="184"/>
      <c r="P253" s="184"/>
      <c r="Q253" s="184"/>
      <c r="R253" s="184"/>
      <c r="S253" s="184"/>
      <c r="T253" s="185"/>
      <c r="U253" s="184"/>
    </row>
    <row r="254" spans="1:21" x14ac:dyDescent="0.2">
      <c r="A254" s="107" t="s">
        <v>397</v>
      </c>
      <c r="B254" s="182"/>
      <c r="C254" s="182"/>
      <c r="D254" s="182"/>
      <c r="E254" s="182"/>
      <c r="F254" s="182"/>
      <c r="G254" s="182"/>
      <c r="H254" s="182"/>
      <c r="I254" s="182"/>
      <c r="J254" s="182"/>
      <c r="K254" s="182"/>
      <c r="L254" s="183"/>
      <c r="M254" s="183"/>
      <c r="N254" s="183"/>
      <c r="O254" s="184"/>
      <c r="P254" s="184"/>
      <c r="Q254" s="184"/>
      <c r="R254" s="184"/>
      <c r="S254" s="184"/>
      <c r="T254" s="185"/>
      <c r="U254" s="184"/>
    </row>
    <row r="255" spans="1:21" x14ac:dyDescent="0.2">
      <c r="A255" s="107" t="s">
        <v>337</v>
      </c>
      <c r="B255" s="182"/>
      <c r="C255" s="182"/>
      <c r="D255" s="182"/>
      <c r="E255" s="182"/>
      <c r="F255" s="182"/>
      <c r="G255" s="182"/>
      <c r="H255" s="182"/>
      <c r="I255" s="182"/>
      <c r="J255" s="182"/>
      <c r="K255" s="182"/>
      <c r="L255" s="183"/>
      <c r="M255" s="183"/>
      <c r="N255" s="183"/>
      <c r="O255" s="184"/>
      <c r="P255" s="184"/>
      <c r="Q255" s="184"/>
      <c r="R255" s="184"/>
      <c r="S255" s="184"/>
      <c r="T255" s="185"/>
      <c r="U255" s="184"/>
    </row>
    <row r="256" spans="1:21" x14ac:dyDescent="0.2">
      <c r="A256" s="107" t="s">
        <v>423</v>
      </c>
      <c r="B256" s="182"/>
      <c r="C256" s="182"/>
      <c r="D256" s="182"/>
      <c r="E256" s="182"/>
      <c r="F256" s="182"/>
      <c r="G256" s="182"/>
      <c r="H256" s="182"/>
      <c r="I256" s="182"/>
      <c r="J256" s="182"/>
      <c r="K256" s="182"/>
      <c r="L256" s="183"/>
      <c r="M256" s="183"/>
      <c r="N256" s="183"/>
      <c r="O256" s="184"/>
      <c r="P256" s="184"/>
      <c r="Q256" s="184"/>
      <c r="R256" s="184"/>
      <c r="S256" s="184"/>
      <c r="T256" s="185"/>
      <c r="U256" s="184"/>
    </row>
    <row r="257" spans="1:21" x14ac:dyDescent="0.2">
      <c r="A257" s="35" t="s">
        <v>408</v>
      </c>
    </row>
    <row r="258" spans="1:21" x14ac:dyDescent="0.2">
      <c r="A258" s="107" t="s">
        <v>332</v>
      </c>
      <c r="B258" s="262"/>
      <c r="C258" s="262"/>
      <c r="D258" s="262"/>
      <c r="E258" s="262"/>
      <c r="F258" s="262"/>
      <c r="G258" s="262"/>
      <c r="H258" s="262"/>
      <c r="I258" s="262"/>
      <c r="J258" s="262"/>
      <c r="K258" s="262"/>
      <c r="L258" s="262"/>
      <c r="M258" s="262"/>
      <c r="N258" s="262"/>
      <c r="O258" s="262"/>
      <c r="P258" s="262"/>
      <c r="Q258" s="262"/>
      <c r="R258" s="262"/>
      <c r="S258" s="262"/>
      <c r="T258" s="263"/>
      <c r="U258" s="262"/>
    </row>
    <row r="259" spans="1:21" x14ac:dyDescent="0.2">
      <c r="A259" s="264"/>
      <c r="B259" s="262"/>
      <c r="C259" s="262"/>
      <c r="D259" s="262"/>
      <c r="E259" s="262"/>
      <c r="F259" s="262"/>
      <c r="G259" s="262"/>
      <c r="H259" s="262"/>
      <c r="I259" s="262"/>
      <c r="J259" s="262"/>
      <c r="K259" s="262"/>
      <c r="L259" s="262"/>
      <c r="M259" s="262"/>
      <c r="N259" s="262"/>
      <c r="O259" s="262"/>
      <c r="P259" s="262"/>
      <c r="Q259" s="262"/>
      <c r="R259" s="262"/>
      <c r="S259" s="262"/>
      <c r="T259" s="263"/>
      <c r="U259" s="262"/>
    </row>
    <row r="260" spans="1:21" x14ac:dyDescent="0.2">
      <c r="A260" s="264"/>
      <c r="B260" s="262"/>
      <c r="C260" s="262"/>
      <c r="D260" s="262"/>
      <c r="E260" s="262"/>
      <c r="F260" s="262"/>
      <c r="G260" s="262"/>
      <c r="H260" s="262"/>
      <c r="I260" s="262"/>
      <c r="J260" s="262"/>
      <c r="K260" s="262"/>
      <c r="L260" s="262"/>
      <c r="M260" s="262"/>
      <c r="N260" s="262"/>
      <c r="O260" s="262"/>
      <c r="P260" s="262"/>
      <c r="Q260" s="262"/>
      <c r="R260" s="262"/>
      <c r="S260" s="262"/>
      <c r="T260" s="263"/>
      <c r="U260" s="262"/>
    </row>
    <row r="261" spans="1:21" x14ac:dyDescent="0.2">
      <c r="A261" s="264"/>
      <c r="B261" s="262"/>
      <c r="C261" s="262"/>
      <c r="D261" s="262"/>
      <c r="E261" s="262"/>
      <c r="F261" s="262"/>
      <c r="G261" s="262"/>
      <c r="H261" s="262"/>
      <c r="I261" s="262"/>
      <c r="J261" s="262"/>
      <c r="K261" s="262"/>
      <c r="L261" s="262"/>
      <c r="M261" s="262"/>
      <c r="N261" s="262"/>
      <c r="O261" s="262"/>
      <c r="P261" s="262"/>
      <c r="Q261" s="262"/>
      <c r="R261" s="262"/>
      <c r="S261" s="262"/>
      <c r="T261" s="263"/>
      <c r="U261" s="262"/>
    </row>
  </sheetData>
  <pageMargins left="0.75" right="0.75" top="1" bottom="1" header="0.5" footer="0.5"/>
  <pageSetup scale="90" orientation="landscape" verticalDpi="300" r:id="rId1"/>
  <headerFooter alignWithMargins="0"/>
  <rowBreaks count="1" manualBreakCount="1">
    <brk id="78" max="65535" man="1"/>
  </rowBreaks>
  <ignoredErrors>
    <ignoredError sqref="O6:R36 O107:R181 O184:R192 O218:R225 O73:R104 O105:S105 S74:S104 S108:S133 O216:S216 O229:R249 O226:Q228 O37:S37 O39:S42 O44:S51 P43:Q43 S43 O53:S71 O52:P52 R52:S52 O214:R215 O213:Q213 O193:R212" formulaRange="1"/>
    <ignoredError sqref="R226:R228" formula="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ED7079-92B7-4E49-89B5-39FBE08F260A}">
  <dimension ref="A1:V283"/>
  <sheetViews>
    <sheetView zoomScaleNormal="100" workbookViewId="0"/>
  </sheetViews>
  <sheetFormatPr defaultColWidth="8.7109375" defaultRowHeight="11.25" x14ac:dyDescent="0.2"/>
  <cols>
    <col min="1" max="1" width="14.5703125" style="21" customWidth="1"/>
    <col min="2" max="2" width="8.140625" style="21" customWidth="1"/>
    <col min="3" max="3" width="8.28515625" style="21" customWidth="1"/>
    <col min="4" max="5" width="7.42578125" style="21" customWidth="1"/>
    <col min="6" max="6" width="8.28515625" style="21" customWidth="1"/>
    <col min="7" max="7" width="8.5703125" style="21" customWidth="1"/>
    <col min="8" max="10" width="8" style="21" customWidth="1"/>
    <col min="11" max="11" width="8.140625" style="21" customWidth="1"/>
    <col min="12" max="12" width="7.5703125" style="21" customWidth="1"/>
    <col min="13" max="13" width="8.140625" style="21" customWidth="1"/>
    <col min="14" max="14" width="0.28515625" style="21" customWidth="1"/>
    <col min="15" max="16" width="6.85546875" style="21" customWidth="1"/>
    <col min="17" max="17" width="7.28515625" style="21" customWidth="1"/>
    <col min="18" max="18" width="6.140625" style="21" customWidth="1"/>
    <col min="19" max="19" width="0.28515625" style="21" customWidth="1"/>
    <col min="20" max="20" width="6.5703125" style="21" customWidth="1"/>
    <col min="21" max="21" width="8" style="21" customWidth="1"/>
    <col min="22" max="22" width="7.5703125" style="21" customWidth="1"/>
    <col min="23" max="256" width="8.7109375" style="21"/>
    <col min="257" max="257" width="14.5703125" style="21" customWidth="1"/>
    <col min="258" max="258" width="8.140625" style="21" customWidth="1"/>
    <col min="259" max="259" width="8.28515625" style="21" customWidth="1"/>
    <col min="260" max="260" width="7.42578125" style="21" customWidth="1"/>
    <col min="261" max="261" width="9.5703125" style="21" customWidth="1"/>
    <col min="262" max="262" width="8.28515625" style="21" customWidth="1"/>
    <col min="263" max="263" width="8.5703125" style="21" customWidth="1"/>
    <col min="264" max="266" width="8" style="21" customWidth="1"/>
    <col min="267" max="267" width="8.140625" style="21" customWidth="1"/>
    <col min="268" max="268" width="7.5703125" style="21" customWidth="1"/>
    <col min="269" max="269" width="8.140625" style="21" customWidth="1"/>
    <col min="270" max="270" width="0" style="21" hidden="1" customWidth="1"/>
    <col min="271" max="271" width="6.140625" style="21" customWidth="1"/>
    <col min="272" max="272" width="6.85546875" style="21" customWidth="1"/>
    <col min="273" max="273" width="7.28515625" style="21" customWidth="1"/>
    <col min="274" max="274" width="6.140625" style="21" customWidth="1"/>
    <col min="275" max="275" width="0" style="21" hidden="1" customWidth="1"/>
    <col min="276" max="276" width="6.5703125" style="21" customWidth="1"/>
    <col min="277" max="277" width="8" style="21" customWidth="1"/>
    <col min="278" max="278" width="7.5703125" style="21" customWidth="1"/>
    <col min="279" max="512" width="8.7109375" style="21"/>
    <col min="513" max="513" width="14.5703125" style="21" customWidth="1"/>
    <col min="514" max="514" width="8.140625" style="21" customWidth="1"/>
    <col min="515" max="515" width="8.28515625" style="21" customWidth="1"/>
    <col min="516" max="516" width="7.42578125" style="21" customWidth="1"/>
    <col min="517" max="517" width="9.5703125" style="21" customWidth="1"/>
    <col min="518" max="518" width="8.28515625" style="21" customWidth="1"/>
    <col min="519" max="519" width="8.5703125" style="21" customWidth="1"/>
    <col min="520" max="522" width="8" style="21" customWidth="1"/>
    <col min="523" max="523" width="8.140625" style="21" customWidth="1"/>
    <col min="524" max="524" width="7.5703125" style="21" customWidth="1"/>
    <col min="525" max="525" width="8.140625" style="21" customWidth="1"/>
    <col min="526" max="526" width="0" style="21" hidden="1" customWidth="1"/>
    <col min="527" max="527" width="6.140625" style="21" customWidth="1"/>
    <col min="528" max="528" width="6.85546875" style="21" customWidth="1"/>
    <col min="529" max="529" width="7.28515625" style="21" customWidth="1"/>
    <col min="530" max="530" width="6.140625" style="21" customWidth="1"/>
    <col min="531" max="531" width="0" style="21" hidden="1" customWidth="1"/>
    <col min="532" max="532" width="6.5703125" style="21" customWidth="1"/>
    <col min="533" max="533" width="8" style="21" customWidth="1"/>
    <col min="534" max="534" width="7.5703125" style="21" customWidth="1"/>
    <col min="535" max="768" width="8.7109375" style="21"/>
    <col min="769" max="769" width="14.5703125" style="21" customWidth="1"/>
    <col min="770" max="770" width="8.140625" style="21" customWidth="1"/>
    <col min="771" max="771" width="8.28515625" style="21" customWidth="1"/>
    <col min="772" max="772" width="7.42578125" style="21" customWidth="1"/>
    <col min="773" max="773" width="9.5703125" style="21" customWidth="1"/>
    <col min="774" max="774" width="8.28515625" style="21" customWidth="1"/>
    <col min="775" max="775" width="8.5703125" style="21" customWidth="1"/>
    <col min="776" max="778" width="8" style="21" customWidth="1"/>
    <col min="779" max="779" width="8.140625" style="21" customWidth="1"/>
    <col min="780" max="780" width="7.5703125" style="21" customWidth="1"/>
    <col min="781" max="781" width="8.140625" style="21" customWidth="1"/>
    <col min="782" max="782" width="0" style="21" hidden="1" customWidth="1"/>
    <col min="783" max="783" width="6.140625" style="21" customWidth="1"/>
    <col min="784" max="784" width="6.85546875" style="21" customWidth="1"/>
    <col min="785" max="785" width="7.28515625" style="21" customWidth="1"/>
    <col min="786" max="786" width="6.140625" style="21" customWidth="1"/>
    <col min="787" max="787" width="0" style="21" hidden="1" customWidth="1"/>
    <col min="788" max="788" width="6.5703125" style="21" customWidth="1"/>
    <col min="789" max="789" width="8" style="21" customWidth="1"/>
    <col min="790" max="790" width="7.5703125" style="21" customWidth="1"/>
    <col min="791" max="1024" width="8.7109375" style="21"/>
    <col min="1025" max="1025" width="14.5703125" style="21" customWidth="1"/>
    <col min="1026" max="1026" width="8.140625" style="21" customWidth="1"/>
    <col min="1027" max="1027" width="8.28515625" style="21" customWidth="1"/>
    <col min="1028" max="1028" width="7.42578125" style="21" customWidth="1"/>
    <col min="1029" max="1029" width="9.5703125" style="21" customWidth="1"/>
    <col min="1030" max="1030" width="8.28515625" style="21" customWidth="1"/>
    <col min="1031" max="1031" width="8.5703125" style="21" customWidth="1"/>
    <col min="1032" max="1034" width="8" style="21" customWidth="1"/>
    <col min="1035" max="1035" width="8.140625" style="21" customWidth="1"/>
    <col min="1036" max="1036" width="7.5703125" style="21" customWidth="1"/>
    <col min="1037" max="1037" width="8.140625" style="21" customWidth="1"/>
    <col min="1038" max="1038" width="0" style="21" hidden="1" customWidth="1"/>
    <col min="1039" max="1039" width="6.140625" style="21" customWidth="1"/>
    <col min="1040" max="1040" width="6.85546875" style="21" customWidth="1"/>
    <col min="1041" max="1041" width="7.28515625" style="21" customWidth="1"/>
    <col min="1042" max="1042" width="6.140625" style="21" customWidth="1"/>
    <col min="1043" max="1043" width="0" style="21" hidden="1" customWidth="1"/>
    <col min="1044" max="1044" width="6.5703125" style="21" customWidth="1"/>
    <col min="1045" max="1045" width="8" style="21" customWidth="1"/>
    <col min="1046" max="1046" width="7.5703125" style="21" customWidth="1"/>
    <col min="1047" max="1280" width="8.7109375" style="21"/>
    <col min="1281" max="1281" width="14.5703125" style="21" customWidth="1"/>
    <col min="1282" max="1282" width="8.140625" style="21" customWidth="1"/>
    <col min="1283" max="1283" width="8.28515625" style="21" customWidth="1"/>
    <col min="1284" max="1284" width="7.42578125" style="21" customWidth="1"/>
    <col min="1285" max="1285" width="9.5703125" style="21" customWidth="1"/>
    <col min="1286" max="1286" width="8.28515625" style="21" customWidth="1"/>
    <col min="1287" max="1287" width="8.5703125" style="21" customWidth="1"/>
    <col min="1288" max="1290" width="8" style="21" customWidth="1"/>
    <col min="1291" max="1291" width="8.140625" style="21" customWidth="1"/>
    <col min="1292" max="1292" width="7.5703125" style="21" customWidth="1"/>
    <col min="1293" max="1293" width="8.140625" style="21" customWidth="1"/>
    <col min="1294" max="1294" width="0" style="21" hidden="1" customWidth="1"/>
    <col min="1295" max="1295" width="6.140625" style="21" customWidth="1"/>
    <col min="1296" max="1296" width="6.85546875" style="21" customWidth="1"/>
    <col min="1297" max="1297" width="7.28515625" style="21" customWidth="1"/>
    <col min="1298" max="1298" width="6.140625" style="21" customWidth="1"/>
    <col min="1299" max="1299" width="0" style="21" hidden="1" customWidth="1"/>
    <col min="1300" max="1300" width="6.5703125" style="21" customWidth="1"/>
    <col min="1301" max="1301" width="8" style="21" customWidth="1"/>
    <col min="1302" max="1302" width="7.5703125" style="21" customWidth="1"/>
    <col min="1303" max="1536" width="8.7109375" style="21"/>
    <col min="1537" max="1537" width="14.5703125" style="21" customWidth="1"/>
    <col min="1538" max="1538" width="8.140625" style="21" customWidth="1"/>
    <col min="1539" max="1539" width="8.28515625" style="21" customWidth="1"/>
    <col min="1540" max="1540" width="7.42578125" style="21" customWidth="1"/>
    <col min="1541" max="1541" width="9.5703125" style="21" customWidth="1"/>
    <col min="1542" max="1542" width="8.28515625" style="21" customWidth="1"/>
    <col min="1543" max="1543" width="8.5703125" style="21" customWidth="1"/>
    <col min="1544" max="1546" width="8" style="21" customWidth="1"/>
    <col min="1547" max="1547" width="8.140625" style="21" customWidth="1"/>
    <col min="1548" max="1548" width="7.5703125" style="21" customWidth="1"/>
    <col min="1549" max="1549" width="8.140625" style="21" customWidth="1"/>
    <col min="1550" max="1550" width="0" style="21" hidden="1" customWidth="1"/>
    <col min="1551" max="1551" width="6.140625" style="21" customWidth="1"/>
    <col min="1552" max="1552" width="6.85546875" style="21" customWidth="1"/>
    <col min="1553" max="1553" width="7.28515625" style="21" customWidth="1"/>
    <col min="1554" max="1554" width="6.140625" style="21" customWidth="1"/>
    <col min="1555" max="1555" width="0" style="21" hidden="1" customWidth="1"/>
    <col min="1556" max="1556" width="6.5703125" style="21" customWidth="1"/>
    <col min="1557" max="1557" width="8" style="21" customWidth="1"/>
    <col min="1558" max="1558" width="7.5703125" style="21" customWidth="1"/>
    <col min="1559" max="1792" width="8.7109375" style="21"/>
    <col min="1793" max="1793" width="14.5703125" style="21" customWidth="1"/>
    <col min="1794" max="1794" width="8.140625" style="21" customWidth="1"/>
    <col min="1795" max="1795" width="8.28515625" style="21" customWidth="1"/>
    <col min="1796" max="1796" width="7.42578125" style="21" customWidth="1"/>
    <col min="1797" max="1797" width="9.5703125" style="21" customWidth="1"/>
    <col min="1798" max="1798" width="8.28515625" style="21" customWidth="1"/>
    <col min="1799" max="1799" width="8.5703125" style="21" customWidth="1"/>
    <col min="1800" max="1802" width="8" style="21" customWidth="1"/>
    <col min="1803" max="1803" width="8.140625" style="21" customWidth="1"/>
    <col min="1804" max="1804" width="7.5703125" style="21" customWidth="1"/>
    <col min="1805" max="1805" width="8.140625" style="21" customWidth="1"/>
    <col min="1806" max="1806" width="0" style="21" hidden="1" customWidth="1"/>
    <col min="1807" max="1807" width="6.140625" style="21" customWidth="1"/>
    <col min="1808" max="1808" width="6.85546875" style="21" customWidth="1"/>
    <col min="1809" max="1809" width="7.28515625" style="21" customWidth="1"/>
    <col min="1810" max="1810" width="6.140625" style="21" customWidth="1"/>
    <col min="1811" max="1811" width="0" style="21" hidden="1" customWidth="1"/>
    <col min="1812" max="1812" width="6.5703125" style="21" customWidth="1"/>
    <col min="1813" max="1813" width="8" style="21" customWidth="1"/>
    <col min="1814" max="1814" width="7.5703125" style="21" customWidth="1"/>
    <col min="1815" max="2048" width="8.7109375" style="21"/>
    <col min="2049" max="2049" width="14.5703125" style="21" customWidth="1"/>
    <col min="2050" max="2050" width="8.140625" style="21" customWidth="1"/>
    <col min="2051" max="2051" width="8.28515625" style="21" customWidth="1"/>
    <col min="2052" max="2052" width="7.42578125" style="21" customWidth="1"/>
    <col min="2053" max="2053" width="9.5703125" style="21" customWidth="1"/>
    <col min="2054" max="2054" width="8.28515625" style="21" customWidth="1"/>
    <col min="2055" max="2055" width="8.5703125" style="21" customWidth="1"/>
    <col min="2056" max="2058" width="8" style="21" customWidth="1"/>
    <col min="2059" max="2059" width="8.140625" style="21" customWidth="1"/>
    <col min="2060" max="2060" width="7.5703125" style="21" customWidth="1"/>
    <col min="2061" max="2061" width="8.140625" style="21" customWidth="1"/>
    <col min="2062" max="2062" width="0" style="21" hidden="1" customWidth="1"/>
    <col min="2063" max="2063" width="6.140625" style="21" customWidth="1"/>
    <col min="2064" max="2064" width="6.85546875" style="21" customWidth="1"/>
    <col min="2065" max="2065" width="7.28515625" style="21" customWidth="1"/>
    <col min="2066" max="2066" width="6.140625" style="21" customWidth="1"/>
    <col min="2067" max="2067" width="0" style="21" hidden="1" customWidth="1"/>
    <col min="2068" max="2068" width="6.5703125" style="21" customWidth="1"/>
    <col min="2069" max="2069" width="8" style="21" customWidth="1"/>
    <col min="2070" max="2070" width="7.5703125" style="21" customWidth="1"/>
    <col min="2071" max="2304" width="8.7109375" style="21"/>
    <col min="2305" max="2305" width="14.5703125" style="21" customWidth="1"/>
    <col min="2306" max="2306" width="8.140625" style="21" customWidth="1"/>
    <col min="2307" max="2307" width="8.28515625" style="21" customWidth="1"/>
    <col min="2308" max="2308" width="7.42578125" style="21" customWidth="1"/>
    <col min="2309" max="2309" width="9.5703125" style="21" customWidth="1"/>
    <col min="2310" max="2310" width="8.28515625" style="21" customWidth="1"/>
    <col min="2311" max="2311" width="8.5703125" style="21" customWidth="1"/>
    <col min="2312" max="2314" width="8" style="21" customWidth="1"/>
    <col min="2315" max="2315" width="8.140625" style="21" customWidth="1"/>
    <col min="2316" max="2316" width="7.5703125" style="21" customWidth="1"/>
    <col min="2317" max="2317" width="8.140625" style="21" customWidth="1"/>
    <col min="2318" max="2318" width="0" style="21" hidden="1" customWidth="1"/>
    <col min="2319" max="2319" width="6.140625" style="21" customWidth="1"/>
    <col min="2320" max="2320" width="6.85546875" style="21" customWidth="1"/>
    <col min="2321" max="2321" width="7.28515625" style="21" customWidth="1"/>
    <col min="2322" max="2322" width="6.140625" style="21" customWidth="1"/>
    <col min="2323" max="2323" width="0" style="21" hidden="1" customWidth="1"/>
    <col min="2324" max="2324" width="6.5703125" style="21" customWidth="1"/>
    <col min="2325" max="2325" width="8" style="21" customWidth="1"/>
    <col min="2326" max="2326" width="7.5703125" style="21" customWidth="1"/>
    <col min="2327" max="2560" width="8.7109375" style="21"/>
    <col min="2561" max="2561" width="14.5703125" style="21" customWidth="1"/>
    <col min="2562" max="2562" width="8.140625" style="21" customWidth="1"/>
    <col min="2563" max="2563" width="8.28515625" style="21" customWidth="1"/>
    <col min="2564" max="2564" width="7.42578125" style="21" customWidth="1"/>
    <col min="2565" max="2565" width="9.5703125" style="21" customWidth="1"/>
    <col min="2566" max="2566" width="8.28515625" style="21" customWidth="1"/>
    <col min="2567" max="2567" width="8.5703125" style="21" customWidth="1"/>
    <col min="2568" max="2570" width="8" style="21" customWidth="1"/>
    <col min="2571" max="2571" width="8.140625" style="21" customWidth="1"/>
    <col min="2572" max="2572" width="7.5703125" style="21" customWidth="1"/>
    <col min="2573" max="2573" width="8.140625" style="21" customWidth="1"/>
    <col min="2574" max="2574" width="0" style="21" hidden="1" customWidth="1"/>
    <col min="2575" max="2575" width="6.140625" style="21" customWidth="1"/>
    <col min="2576" max="2576" width="6.85546875" style="21" customWidth="1"/>
    <col min="2577" max="2577" width="7.28515625" style="21" customWidth="1"/>
    <col min="2578" max="2578" width="6.140625" style="21" customWidth="1"/>
    <col min="2579" max="2579" width="0" style="21" hidden="1" customWidth="1"/>
    <col min="2580" max="2580" width="6.5703125" style="21" customWidth="1"/>
    <col min="2581" max="2581" width="8" style="21" customWidth="1"/>
    <col min="2582" max="2582" width="7.5703125" style="21" customWidth="1"/>
    <col min="2583" max="2816" width="8.7109375" style="21"/>
    <col min="2817" max="2817" width="14.5703125" style="21" customWidth="1"/>
    <col min="2818" max="2818" width="8.140625" style="21" customWidth="1"/>
    <col min="2819" max="2819" width="8.28515625" style="21" customWidth="1"/>
    <col min="2820" max="2820" width="7.42578125" style="21" customWidth="1"/>
    <col min="2821" max="2821" width="9.5703125" style="21" customWidth="1"/>
    <col min="2822" max="2822" width="8.28515625" style="21" customWidth="1"/>
    <col min="2823" max="2823" width="8.5703125" style="21" customWidth="1"/>
    <col min="2824" max="2826" width="8" style="21" customWidth="1"/>
    <col min="2827" max="2827" width="8.140625" style="21" customWidth="1"/>
    <col min="2828" max="2828" width="7.5703125" style="21" customWidth="1"/>
    <col min="2829" max="2829" width="8.140625" style="21" customWidth="1"/>
    <col min="2830" max="2830" width="0" style="21" hidden="1" customWidth="1"/>
    <col min="2831" max="2831" width="6.140625" style="21" customWidth="1"/>
    <col min="2832" max="2832" width="6.85546875" style="21" customWidth="1"/>
    <col min="2833" max="2833" width="7.28515625" style="21" customWidth="1"/>
    <col min="2834" max="2834" width="6.140625" style="21" customWidth="1"/>
    <col min="2835" max="2835" width="0" style="21" hidden="1" customWidth="1"/>
    <col min="2836" max="2836" width="6.5703125" style="21" customWidth="1"/>
    <col min="2837" max="2837" width="8" style="21" customWidth="1"/>
    <col min="2838" max="2838" width="7.5703125" style="21" customWidth="1"/>
    <col min="2839" max="3072" width="8.7109375" style="21"/>
    <col min="3073" max="3073" width="14.5703125" style="21" customWidth="1"/>
    <col min="3074" max="3074" width="8.140625" style="21" customWidth="1"/>
    <col min="3075" max="3075" width="8.28515625" style="21" customWidth="1"/>
    <col min="3076" max="3076" width="7.42578125" style="21" customWidth="1"/>
    <col min="3077" max="3077" width="9.5703125" style="21" customWidth="1"/>
    <col min="3078" max="3078" width="8.28515625" style="21" customWidth="1"/>
    <col min="3079" max="3079" width="8.5703125" style="21" customWidth="1"/>
    <col min="3080" max="3082" width="8" style="21" customWidth="1"/>
    <col min="3083" max="3083" width="8.140625" style="21" customWidth="1"/>
    <col min="3084" max="3084" width="7.5703125" style="21" customWidth="1"/>
    <col min="3085" max="3085" width="8.140625" style="21" customWidth="1"/>
    <col min="3086" max="3086" width="0" style="21" hidden="1" customWidth="1"/>
    <col min="3087" max="3087" width="6.140625" style="21" customWidth="1"/>
    <col min="3088" max="3088" width="6.85546875" style="21" customWidth="1"/>
    <col min="3089" max="3089" width="7.28515625" style="21" customWidth="1"/>
    <col min="3090" max="3090" width="6.140625" style="21" customWidth="1"/>
    <col min="3091" max="3091" width="0" style="21" hidden="1" customWidth="1"/>
    <col min="3092" max="3092" width="6.5703125" style="21" customWidth="1"/>
    <col min="3093" max="3093" width="8" style="21" customWidth="1"/>
    <col min="3094" max="3094" width="7.5703125" style="21" customWidth="1"/>
    <col min="3095" max="3328" width="8.7109375" style="21"/>
    <col min="3329" max="3329" width="14.5703125" style="21" customWidth="1"/>
    <col min="3330" max="3330" width="8.140625" style="21" customWidth="1"/>
    <col min="3331" max="3331" width="8.28515625" style="21" customWidth="1"/>
    <col min="3332" max="3332" width="7.42578125" style="21" customWidth="1"/>
    <col min="3333" max="3333" width="9.5703125" style="21" customWidth="1"/>
    <col min="3334" max="3334" width="8.28515625" style="21" customWidth="1"/>
    <col min="3335" max="3335" width="8.5703125" style="21" customWidth="1"/>
    <col min="3336" max="3338" width="8" style="21" customWidth="1"/>
    <col min="3339" max="3339" width="8.140625" style="21" customWidth="1"/>
    <col min="3340" max="3340" width="7.5703125" style="21" customWidth="1"/>
    <col min="3341" max="3341" width="8.140625" style="21" customWidth="1"/>
    <col min="3342" max="3342" width="0" style="21" hidden="1" customWidth="1"/>
    <col min="3343" max="3343" width="6.140625" style="21" customWidth="1"/>
    <col min="3344" max="3344" width="6.85546875" style="21" customWidth="1"/>
    <col min="3345" max="3345" width="7.28515625" style="21" customWidth="1"/>
    <col min="3346" max="3346" width="6.140625" style="21" customWidth="1"/>
    <col min="3347" max="3347" width="0" style="21" hidden="1" customWidth="1"/>
    <col min="3348" max="3348" width="6.5703125" style="21" customWidth="1"/>
    <col min="3349" max="3349" width="8" style="21" customWidth="1"/>
    <col min="3350" max="3350" width="7.5703125" style="21" customWidth="1"/>
    <col min="3351" max="3584" width="8.7109375" style="21"/>
    <col min="3585" max="3585" width="14.5703125" style="21" customWidth="1"/>
    <col min="3586" max="3586" width="8.140625" style="21" customWidth="1"/>
    <col min="3587" max="3587" width="8.28515625" style="21" customWidth="1"/>
    <col min="3588" max="3588" width="7.42578125" style="21" customWidth="1"/>
    <col min="3589" max="3589" width="9.5703125" style="21" customWidth="1"/>
    <col min="3590" max="3590" width="8.28515625" style="21" customWidth="1"/>
    <col min="3591" max="3591" width="8.5703125" style="21" customWidth="1"/>
    <col min="3592" max="3594" width="8" style="21" customWidth="1"/>
    <col min="3595" max="3595" width="8.140625" style="21" customWidth="1"/>
    <col min="3596" max="3596" width="7.5703125" style="21" customWidth="1"/>
    <col min="3597" max="3597" width="8.140625" style="21" customWidth="1"/>
    <col min="3598" max="3598" width="0" style="21" hidden="1" customWidth="1"/>
    <col min="3599" max="3599" width="6.140625" style="21" customWidth="1"/>
    <col min="3600" max="3600" width="6.85546875" style="21" customWidth="1"/>
    <col min="3601" max="3601" width="7.28515625" style="21" customWidth="1"/>
    <col min="3602" max="3602" width="6.140625" style="21" customWidth="1"/>
    <col min="3603" max="3603" width="0" style="21" hidden="1" customWidth="1"/>
    <col min="3604" max="3604" width="6.5703125" style="21" customWidth="1"/>
    <col min="3605" max="3605" width="8" style="21" customWidth="1"/>
    <col min="3606" max="3606" width="7.5703125" style="21" customWidth="1"/>
    <col min="3607" max="3840" width="8.7109375" style="21"/>
    <col min="3841" max="3841" width="14.5703125" style="21" customWidth="1"/>
    <col min="3842" max="3842" width="8.140625" style="21" customWidth="1"/>
    <col min="3843" max="3843" width="8.28515625" style="21" customWidth="1"/>
    <col min="3844" max="3844" width="7.42578125" style="21" customWidth="1"/>
    <col min="3845" max="3845" width="9.5703125" style="21" customWidth="1"/>
    <col min="3846" max="3846" width="8.28515625" style="21" customWidth="1"/>
    <col min="3847" max="3847" width="8.5703125" style="21" customWidth="1"/>
    <col min="3848" max="3850" width="8" style="21" customWidth="1"/>
    <col min="3851" max="3851" width="8.140625" style="21" customWidth="1"/>
    <col min="3852" max="3852" width="7.5703125" style="21" customWidth="1"/>
    <col min="3853" max="3853" width="8.140625" style="21" customWidth="1"/>
    <col min="3854" max="3854" width="0" style="21" hidden="1" customWidth="1"/>
    <col min="3855" max="3855" width="6.140625" style="21" customWidth="1"/>
    <col min="3856" max="3856" width="6.85546875" style="21" customWidth="1"/>
    <col min="3857" max="3857" width="7.28515625" style="21" customWidth="1"/>
    <col min="3858" max="3858" width="6.140625" style="21" customWidth="1"/>
    <col min="3859" max="3859" width="0" style="21" hidden="1" customWidth="1"/>
    <col min="3860" max="3860" width="6.5703125" style="21" customWidth="1"/>
    <col min="3861" max="3861" width="8" style="21" customWidth="1"/>
    <col min="3862" max="3862" width="7.5703125" style="21" customWidth="1"/>
    <col min="3863" max="4096" width="8.7109375" style="21"/>
    <col min="4097" max="4097" width="14.5703125" style="21" customWidth="1"/>
    <col min="4098" max="4098" width="8.140625" style="21" customWidth="1"/>
    <col min="4099" max="4099" width="8.28515625" style="21" customWidth="1"/>
    <col min="4100" max="4100" width="7.42578125" style="21" customWidth="1"/>
    <col min="4101" max="4101" width="9.5703125" style="21" customWidth="1"/>
    <col min="4102" max="4102" width="8.28515625" style="21" customWidth="1"/>
    <col min="4103" max="4103" width="8.5703125" style="21" customWidth="1"/>
    <col min="4104" max="4106" width="8" style="21" customWidth="1"/>
    <col min="4107" max="4107" width="8.140625" style="21" customWidth="1"/>
    <col min="4108" max="4108" width="7.5703125" style="21" customWidth="1"/>
    <col min="4109" max="4109" width="8.140625" style="21" customWidth="1"/>
    <col min="4110" max="4110" width="0" style="21" hidden="1" customWidth="1"/>
    <col min="4111" max="4111" width="6.140625" style="21" customWidth="1"/>
    <col min="4112" max="4112" width="6.85546875" style="21" customWidth="1"/>
    <col min="4113" max="4113" width="7.28515625" style="21" customWidth="1"/>
    <col min="4114" max="4114" width="6.140625" style="21" customWidth="1"/>
    <col min="4115" max="4115" width="0" style="21" hidden="1" customWidth="1"/>
    <col min="4116" max="4116" width="6.5703125" style="21" customWidth="1"/>
    <col min="4117" max="4117" width="8" style="21" customWidth="1"/>
    <col min="4118" max="4118" width="7.5703125" style="21" customWidth="1"/>
    <col min="4119" max="4352" width="8.7109375" style="21"/>
    <col min="4353" max="4353" width="14.5703125" style="21" customWidth="1"/>
    <col min="4354" max="4354" width="8.140625" style="21" customWidth="1"/>
    <col min="4355" max="4355" width="8.28515625" style="21" customWidth="1"/>
    <col min="4356" max="4356" width="7.42578125" style="21" customWidth="1"/>
    <col min="4357" max="4357" width="9.5703125" style="21" customWidth="1"/>
    <col min="4358" max="4358" width="8.28515625" style="21" customWidth="1"/>
    <col min="4359" max="4359" width="8.5703125" style="21" customWidth="1"/>
    <col min="4360" max="4362" width="8" style="21" customWidth="1"/>
    <col min="4363" max="4363" width="8.140625" style="21" customWidth="1"/>
    <col min="4364" max="4364" width="7.5703125" style="21" customWidth="1"/>
    <col min="4365" max="4365" width="8.140625" style="21" customWidth="1"/>
    <col min="4366" max="4366" width="0" style="21" hidden="1" customWidth="1"/>
    <col min="4367" max="4367" width="6.140625" style="21" customWidth="1"/>
    <col min="4368" max="4368" width="6.85546875" style="21" customWidth="1"/>
    <col min="4369" max="4369" width="7.28515625" style="21" customWidth="1"/>
    <col min="4370" max="4370" width="6.140625" style="21" customWidth="1"/>
    <col min="4371" max="4371" width="0" style="21" hidden="1" customWidth="1"/>
    <col min="4372" max="4372" width="6.5703125" style="21" customWidth="1"/>
    <col min="4373" max="4373" width="8" style="21" customWidth="1"/>
    <col min="4374" max="4374" width="7.5703125" style="21" customWidth="1"/>
    <col min="4375" max="4608" width="8.7109375" style="21"/>
    <col min="4609" max="4609" width="14.5703125" style="21" customWidth="1"/>
    <col min="4610" max="4610" width="8.140625" style="21" customWidth="1"/>
    <col min="4611" max="4611" width="8.28515625" style="21" customWidth="1"/>
    <col min="4612" max="4612" width="7.42578125" style="21" customWidth="1"/>
    <col min="4613" max="4613" width="9.5703125" style="21" customWidth="1"/>
    <col min="4614" max="4614" width="8.28515625" style="21" customWidth="1"/>
    <col min="4615" max="4615" width="8.5703125" style="21" customWidth="1"/>
    <col min="4616" max="4618" width="8" style="21" customWidth="1"/>
    <col min="4619" max="4619" width="8.140625" style="21" customWidth="1"/>
    <col min="4620" max="4620" width="7.5703125" style="21" customWidth="1"/>
    <col min="4621" max="4621" width="8.140625" style="21" customWidth="1"/>
    <col min="4622" max="4622" width="0" style="21" hidden="1" customWidth="1"/>
    <col min="4623" max="4623" width="6.140625" style="21" customWidth="1"/>
    <col min="4624" max="4624" width="6.85546875" style="21" customWidth="1"/>
    <col min="4625" max="4625" width="7.28515625" style="21" customWidth="1"/>
    <col min="4626" max="4626" width="6.140625" style="21" customWidth="1"/>
    <col min="4627" max="4627" width="0" style="21" hidden="1" customWidth="1"/>
    <col min="4628" max="4628" width="6.5703125" style="21" customWidth="1"/>
    <col min="4629" max="4629" width="8" style="21" customWidth="1"/>
    <col min="4630" max="4630" width="7.5703125" style="21" customWidth="1"/>
    <col min="4631" max="4864" width="8.7109375" style="21"/>
    <col min="4865" max="4865" width="14.5703125" style="21" customWidth="1"/>
    <col min="4866" max="4866" width="8.140625" style="21" customWidth="1"/>
    <col min="4867" max="4867" width="8.28515625" style="21" customWidth="1"/>
    <col min="4868" max="4868" width="7.42578125" style="21" customWidth="1"/>
    <col min="4869" max="4869" width="9.5703125" style="21" customWidth="1"/>
    <col min="4870" max="4870" width="8.28515625" style="21" customWidth="1"/>
    <col min="4871" max="4871" width="8.5703125" style="21" customWidth="1"/>
    <col min="4872" max="4874" width="8" style="21" customWidth="1"/>
    <col min="4875" max="4875" width="8.140625" style="21" customWidth="1"/>
    <col min="4876" max="4876" width="7.5703125" style="21" customWidth="1"/>
    <col min="4877" max="4877" width="8.140625" style="21" customWidth="1"/>
    <col min="4878" max="4878" width="0" style="21" hidden="1" customWidth="1"/>
    <col min="4879" max="4879" width="6.140625" style="21" customWidth="1"/>
    <col min="4880" max="4880" width="6.85546875" style="21" customWidth="1"/>
    <col min="4881" max="4881" width="7.28515625" style="21" customWidth="1"/>
    <col min="4882" max="4882" width="6.140625" style="21" customWidth="1"/>
    <col min="4883" max="4883" width="0" style="21" hidden="1" customWidth="1"/>
    <col min="4884" max="4884" width="6.5703125" style="21" customWidth="1"/>
    <col min="4885" max="4885" width="8" style="21" customWidth="1"/>
    <col min="4886" max="4886" width="7.5703125" style="21" customWidth="1"/>
    <col min="4887" max="5120" width="8.7109375" style="21"/>
    <col min="5121" max="5121" width="14.5703125" style="21" customWidth="1"/>
    <col min="5122" max="5122" width="8.140625" style="21" customWidth="1"/>
    <col min="5123" max="5123" width="8.28515625" style="21" customWidth="1"/>
    <col min="5124" max="5124" width="7.42578125" style="21" customWidth="1"/>
    <col min="5125" max="5125" width="9.5703125" style="21" customWidth="1"/>
    <col min="5126" max="5126" width="8.28515625" style="21" customWidth="1"/>
    <col min="5127" max="5127" width="8.5703125" style="21" customWidth="1"/>
    <col min="5128" max="5130" width="8" style="21" customWidth="1"/>
    <col min="5131" max="5131" width="8.140625" style="21" customWidth="1"/>
    <col min="5132" max="5132" width="7.5703125" style="21" customWidth="1"/>
    <col min="5133" max="5133" width="8.140625" style="21" customWidth="1"/>
    <col min="5134" max="5134" width="0" style="21" hidden="1" customWidth="1"/>
    <col min="5135" max="5135" width="6.140625" style="21" customWidth="1"/>
    <col min="5136" max="5136" width="6.85546875" style="21" customWidth="1"/>
    <col min="5137" max="5137" width="7.28515625" style="21" customWidth="1"/>
    <col min="5138" max="5138" width="6.140625" style="21" customWidth="1"/>
    <col min="5139" max="5139" width="0" style="21" hidden="1" customWidth="1"/>
    <col min="5140" max="5140" width="6.5703125" style="21" customWidth="1"/>
    <col min="5141" max="5141" width="8" style="21" customWidth="1"/>
    <col min="5142" max="5142" width="7.5703125" style="21" customWidth="1"/>
    <col min="5143" max="5376" width="8.7109375" style="21"/>
    <col min="5377" max="5377" width="14.5703125" style="21" customWidth="1"/>
    <col min="5378" max="5378" width="8.140625" style="21" customWidth="1"/>
    <col min="5379" max="5379" width="8.28515625" style="21" customWidth="1"/>
    <col min="5380" max="5380" width="7.42578125" style="21" customWidth="1"/>
    <col min="5381" max="5381" width="9.5703125" style="21" customWidth="1"/>
    <col min="5382" max="5382" width="8.28515625" style="21" customWidth="1"/>
    <col min="5383" max="5383" width="8.5703125" style="21" customWidth="1"/>
    <col min="5384" max="5386" width="8" style="21" customWidth="1"/>
    <col min="5387" max="5387" width="8.140625" style="21" customWidth="1"/>
    <col min="5388" max="5388" width="7.5703125" style="21" customWidth="1"/>
    <col min="5389" max="5389" width="8.140625" style="21" customWidth="1"/>
    <col min="5390" max="5390" width="0" style="21" hidden="1" customWidth="1"/>
    <col min="5391" max="5391" width="6.140625" style="21" customWidth="1"/>
    <col min="5392" max="5392" width="6.85546875" style="21" customWidth="1"/>
    <col min="5393" max="5393" width="7.28515625" style="21" customWidth="1"/>
    <col min="5394" max="5394" width="6.140625" style="21" customWidth="1"/>
    <col min="5395" max="5395" width="0" style="21" hidden="1" customWidth="1"/>
    <col min="5396" max="5396" width="6.5703125" style="21" customWidth="1"/>
    <col min="5397" max="5397" width="8" style="21" customWidth="1"/>
    <col min="5398" max="5398" width="7.5703125" style="21" customWidth="1"/>
    <col min="5399" max="5632" width="8.7109375" style="21"/>
    <col min="5633" max="5633" width="14.5703125" style="21" customWidth="1"/>
    <col min="5634" max="5634" width="8.140625" style="21" customWidth="1"/>
    <col min="5635" max="5635" width="8.28515625" style="21" customWidth="1"/>
    <col min="5636" max="5636" width="7.42578125" style="21" customWidth="1"/>
    <col min="5637" max="5637" width="9.5703125" style="21" customWidth="1"/>
    <col min="5638" max="5638" width="8.28515625" style="21" customWidth="1"/>
    <col min="5639" max="5639" width="8.5703125" style="21" customWidth="1"/>
    <col min="5640" max="5642" width="8" style="21" customWidth="1"/>
    <col min="5643" max="5643" width="8.140625" style="21" customWidth="1"/>
    <col min="5644" max="5644" width="7.5703125" style="21" customWidth="1"/>
    <col min="5645" max="5645" width="8.140625" style="21" customWidth="1"/>
    <col min="5646" max="5646" width="0" style="21" hidden="1" customWidth="1"/>
    <col min="5647" max="5647" width="6.140625" style="21" customWidth="1"/>
    <col min="5648" max="5648" width="6.85546875" style="21" customWidth="1"/>
    <col min="5649" max="5649" width="7.28515625" style="21" customWidth="1"/>
    <col min="5650" max="5650" width="6.140625" style="21" customWidth="1"/>
    <col min="5651" max="5651" width="0" style="21" hidden="1" customWidth="1"/>
    <col min="5652" max="5652" width="6.5703125" style="21" customWidth="1"/>
    <col min="5653" max="5653" width="8" style="21" customWidth="1"/>
    <col min="5654" max="5654" width="7.5703125" style="21" customWidth="1"/>
    <col min="5655" max="5888" width="8.7109375" style="21"/>
    <col min="5889" max="5889" width="14.5703125" style="21" customWidth="1"/>
    <col min="5890" max="5890" width="8.140625" style="21" customWidth="1"/>
    <col min="5891" max="5891" width="8.28515625" style="21" customWidth="1"/>
    <col min="5892" max="5892" width="7.42578125" style="21" customWidth="1"/>
    <col min="5893" max="5893" width="9.5703125" style="21" customWidth="1"/>
    <col min="5894" max="5894" width="8.28515625" style="21" customWidth="1"/>
    <col min="5895" max="5895" width="8.5703125" style="21" customWidth="1"/>
    <col min="5896" max="5898" width="8" style="21" customWidth="1"/>
    <col min="5899" max="5899" width="8.140625" style="21" customWidth="1"/>
    <col min="5900" max="5900" width="7.5703125" style="21" customWidth="1"/>
    <col min="5901" max="5901" width="8.140625" style="21" customWidth="1"/>
    <col min="5902" max="5902" width="0" style="21" hidden="1" customWidth="1"/>
    <col min="5903" max="5903" width="6.140625" style="21" customWidth="1"/>
    <col min="5904" max="5904" width="6.85546875" style="21" customWidth="1"/>
    <col min="5905" max="5905" width="7.28515625" style="21" customWidth="1"/>
    <col min="5906" max="5906" width="6.140625" style="21" customWidth="1"/>
    <col min="5907" max="5907" width="0" style="21" hidden="1" customWidth="1"/>
    <col min="5908" max="5908" width="6.5703125" style="21" customWidth="1"/>
    <col min="5909" max="5909" width="8" style="21" customWidth="1"/>
    <col min="5910" max="5910" width="7.5703125" style="21" customWidth="1"/>
    <col min="5911" max="6144" width="8.7109375" style="21"/>
    <col min="6145" max="6145" width="14.5703125" style="21" customWidth="1"/>
    <col min="6146" max="6146" width="8.140625" style="21" customWidth="1"/>
    <col min="6147" max="6147" width="8.28515625" style="21" customWidth="1"/>
    <col min="6148" max="6148" width="7.42578125" style="21" customWidth="1"/>
    <col min="6149" max="6149" width="9.5703125" style="21" customWidth="1"/>
    <col min="6150" max="6150" width="8.28515625" style="21" customWidth="1"/>
    <col min="6151" max="6151" width="8.5703125" style="21" customWidth="1"/>
    <col min="6152" max="6154" width="8" style="21" customWidth="1"/>
    <col min="6155" max="6155" width="8.140625" style="21" customWidth="1"/>
    <col min="6156" max="6156" width="7.5703125" style="21" customWidth="1"/>
    <col min="6157" max="6157" width="8.140625" style="21" customWidth="1"/>
    <col min="6158" max="6158" width="0" style="21" hidden="1" customWidth="1"/>
    <col min="6159" max="6159" width="6.140625" style="21" customWidth="1"/>
    <col min="6160" max="6160" width="6.85546875" style="21" customWidth="1"/>
    <col min="6161" max="6161" width="7.28515625" style="21" customWidth="1"/>
    <col min="6162" max="6162" width="6.140625" style="21" customWidth="1"/>
    <col min="6163" max="6163" width="0" style="21" hidden="1" customWidth="1"/>
    <col min="6164" max="6164" width="6.5703125" style="21" customWidth="1"/>
    <col min="6165" max="6165" width="8" style="21" customWidth="1"/>
    <col min="6166" max="6166" width="7.5703125" style="21" customWidth="1"/>
    <col min="6167" max="6400" width="8.7109375" style="21"/>
    <col min="6401" max="6401" width="14.5703125" style="21" customWidth="1"/>
    <col min="6402" max="6402" width="8.140625" style="21" customWidth="1"/>
    <col min="6403" max="6403" width="8.28515625" style="21" customWidth="1"/>
    <col min="6404" max="6404" width="7.42578125" style="21" customWidth="1"/>
    <col min="6405" max="6405" width="9.5703125" style="21" customWidth="1"/>
    <col min="6406" max="6406" width="8.28515625" style="21" customWidth="1"/>
    <col min="6407" max="6407" width="8.5703125" style="21" customWidth="1"/>
    <col min="6408" max="6410" width="8" style="21" customWidth="1"/>
    <col min="6411" max="6411" width="8.140625" style="21" customWidth="1"/>
    <col min="6412" max="6412" width="7.5703125" style="21" customWidth="1"/>
    <col min="6413" max="6413" width="8.140625" style="21" customWidth="1"/>
    <col min="6414" max="6414" width="0" style="21" hidden="1" customWidth="1"/>
    <col min="6415" max="6415" width="6.140625" style="21" customWidth="1"/>
    <col min="6416" max="6416" width="6.85546875" style="21" customWidth="1"/>
    <col min="6417" max="6417" width="7.28515625" style="21" customWidth="1"/>
    <col min="6418" max="6418" width="6.140625" style="21" customWidth="1"/>
    <col min="6419" max="6419" width="0" style="21" hidden="1" customWidth="1"/>
    <col min="6420" max="6420" width="6.5703125" style="21" customWidth="1"/>
    <col min="6421" max="6421" width="8" style="21" customWidth="1"/>
    <col min="6422" max="6422" width="7.5703125" style="21" customWidth="1"/>
    <col min="6423" max="6656" width="8.7109375" style="21"/>
    <col min="6657" max="6657" width="14.5703125" style="21" customWidth="1"/>
    <col min="6658" max="6658" width="8.140625" style="21" customWidth="1"/>
    <col min="6659" max="6659" width="8.28515625" style="21" customWidth="1"/>
    <col min="6660" max="6660" width="7.42578125" style="21" customWidth="1"/>
    <col min="6661" max="6661" width="9.5703125" style="21" customWidth="1"/>
    <col min="6662" max="6662" width="8.28515625" style="21" customWidth="1"/>
    <col min="6663" max="6663" width="8.5703125" style="21" customWidth="1"/>
    <col min="6664" max="6666" width="8" style="21" customWidth="1"/>
    <col min="6667" max="6667" width="8.140625" style="21" customWidth="1"/>
    <col min="6668" max="6668" width="7.5703125" style="21" customWidth="1"/>
    <col min="6669" max="6669" width="8.140625" style="21" customWidth="1"/>
    <col min="6670" max="6670" width="0" style="21" hidden="1" customWidth="1"/>
    <col min="6671" max="6671" width="6.140625" style="21" customWidth="1"/>
    <col min="6672" max="6672" width="6.85546875" style="21" customWidth="1"/>
    <col min="6673" max="6673" width="7.28515625" style="21" customWidth="1"/>
    <col min="6674" max="6674" width="6.140625" style="21" customWidth="1"/>
    <col min="6675" max="6675" width="0" style="21" hidden="1" customWidth="1"/>
    <col min="6676" max="6676" width="6.5703125" style="21" customWidth="1"/>
    <col min="6677" max="6677" width="8" style="21" customWidth="1"/>
    <col min="6678" max="6678" width="7.5703125" style="21" customWidth="1"/>
    <col min="6679" max="6912" width="8.7109375" style="21"/>
    <col min="6913" max="6913" width="14.5703125" style="21" customWidth="1"/>
    <col min="6914" max="6914" width="8.140625" style="21" customWidth="1"/>
    <col min="6915" max="6915" width="8.28515625" style="21" customWidth="1"/>
    <col min="6916" max="6916" width="7.42578125" style="21" customWidth="1"/>
    <col min="6917" max="6917" width="9.5703125" style="21" customWidth="1"/>
    <col min="6918" max="6918" width="8.28515625" style="21" customWidth="1"/>
    <col min="6919" max="6919" width="8.5703125" style="21" customWidth="1"/>
    <col min="6920" max="6922" width="8" style="21" customWidth="1"/>
    <col min="6923" max="6923" width="8.140625" style="21" customWidth="1"/>
    <col min="6924" max="6924" width="7.5703125" style="21" customWidth="1"/>
    <col min="6925" max="6925" width="8.140625" style="21" customWidth="1"/>
    <col min="6926" max="6926" width="0" style="21" hidden="1" customWidth="1"/>
    <col min="6927" max="6927" width="6.140625" style="21" customWidth="1"/>
    <col min="6928" max="6928" width="6.85546875" style="21" customWidth="1"/>
    <col min="6929" max="6929" width="7.28515625" style="21" customWidth="1"/>
    <col min="6930" max="6930" width="6.140625" style="21" customWidth="1"/>
    <col min="6931" max="6931" width="0" style="21" hidden="1" customWidth="1"/>
    <col min="6932" max="6932" width="6.5703125" style="21" customWidth="1"/>
    <col min="6933" max="6933" width="8" style="21" customWidth="1"/>
    <col min="6934" max="6934" width="7.5703125" style="21" customWidth="1"/>
    <col min="6935" max="7168" width="8.7109375" style="21"/>
    <col min="7169" max="7169" width="14.5703125" style="21" customWidth="1"/>
    <col min="7170" max="7170" width="8.140625" style="21" customWidth="1"/>
    <col min="7171" max="7171" width="8.28515625" style="21" customWidth="1"/>
    <col min="7172" max="7172" width="7.42578125" style="21" customWidth="1"/>
    <col min="7173" max="7173" width="9.5703125" style="21" customWidth="1"/>
    <col min="7174" max="7174" width="8.28515625" style="21" customWidth="1"/>
    <col min="7175" max="7175" width="8.5703125" style="21" customWidth="1"/>
    <col min="7176" max="7178" width="8" style="21" customWidth="1"/>
    <col min="7179" max="7179" width="8.140625" style="21" customWidth="1"/>
    <col min="7180" max="7180" width="7.5703125" style="21" customWidth="1"/>
    <col min="7181" max="7181" width="8.140625" style="21" customWidth="1"/>
    <col min="7182" max="7182" width="0" style="21" hidden="1" customWidth="1"/>
    <col min="7183" max="7183" width="6.140625" style="21" customWidth="1"/>
    <col min="7184" max="7184" width="6.85546875" style="21" customWidth="1"/>
    <col min="7185" max="7185" width="7.28515625" style="21" customWidth="1"/>
    <col min="7186" max="7186" width="6.140625" style="21" customWidth="1"/>
    <col min="7187" max="7187" width="0" style="21" hidden="1" customWidth="1"/>
    <col min="7188" max="7188" width="6.5703125" style="21" customWidth="1"/>
    <col min="7189" max="7189" width="8" style="21" customWidth="1"/>
    <col min="7190" max="7190" width="7.5703125" style="21" customWidth="1"/>
    <col min="7191" max="7424" width="8.7109375" style="21"/>
    <col min="7425" max="7425" width="14.5703125" style="21" customWidth="1"/>
    <col min="7426" max="7426" width="8.140625" style="21" customWidth="1"/>
    <col min="7427" max="7427" width="8.28515625" style="21" customWidth="1"/>
    <col min="7428" max="7428" width="7.42578125" style="21" customWidth="1"/>
    <col min="7429" max="7429" width="9.5703125" style="21" customWidth="1"/>
    <col min="7430" max="7430" width="8.28515625" style="21" customWidth="1"/>
    <col min="7431" max="7431" width="8.5703125" style="21" customWidth="1"/>
    <col min="7432" max="7434" width="8" style="21" customWidth="1"/>
    <col min="7435" max="7435" width="8.140625" style="21" customWidth="1"/>
    <col min="7436" max="7436" width="7.5703125" style="21" customWidth="1"/>
    <col min="7437" max="7437" width="8.140625" style="21" customWidth="1"/>
    <col min="7438" max="7438" width="0" style="21" hidden="1" customWidth="1"/>
    <col min="7439" max="7439" width="6.140625" style="21" customWidth="1"/>
    <col min="7440" max="7440" width="6.85546875" style="21" customWidth="1"/>
    <col min="7441" max="7441" width="7.28515625" style="21" customWidth="1"/>
    <col min="7442" max="7442" width="6.140625" style="21" customWidth="1"/>
    <col min="7443" max="7443" width="0" style="21" hidden="1" customWidth="1"/>
    <col min="7444" max="7444" width="6.5703125" style="21" customWidth="1"/>
    <col min="7445" max="7445" width="8" style="21" customWidth="1"/>
    <col min="7446" max="7446" width="7.5703125" style="21" customWidth="1"/>
    <col min="7447" max="7680" width="8.7109375" style="21"/>
    <col min="7681" max="7681" width="14.5703125" style="21" customWidth="1"/>
    <col min="7682" max="7682" width="8.140625" style="21" customWidth="1"/>
    <col min="7683" max="7683" width="8.28515625" style="21" customWidth="1"/>
    <col min="7684" max="7684" width="7.42578125" style="21" customWidth="1"/>
    <col min="7685" max="7685" width="9.5703125" style="21" customWidth="1"/>
    <col min="7686" max="7686" width="8.28515625" style="21" customWidth="1"/>
    <col min="7687" max="7687" width="8.5703125" style="21" customWidth="1"/>
    <col min="7688" max="7690" width="8" style="21" customWidth="1"/>
    <col min="7691" max="7691" width="8.140625" style="21" customWidth="1"/>
    <col min="7692" max="7692" width="7.5703125" style="21" customWidth="1"/>
    <col min="7693" max="7693" width="8.140625" style="21" customWidth="1"/>
    <col min="7694" max="7694" width="0" style="21" hidden="1" customWidth="1"/>
    <col min="7695" max="7695" width="6.140625" style="21" customWidth="1"/>
    <col min="7696" max="7696" width="6.85546875" style="21" customWidth="1"/>
    <col min="7697" max="7697" width="7.28515625" style="21" customWidth="1"/>
    <col min="7698" max="7698" width="6.140625" style="21" customWidth="1"/>
    <col min="7699" max="7699" width="0" style="21" hidden="1" customWidth="1"/>
    <col min="7700" max="7700" width="6.5703125" style="21" customWidth="1"/>
    <col min="7701" max="7701" width="8" style="21" customWidth="1"/>
    <col min="7702" max="7702" width="7.5703125" style="21" customWidth="1"/>
    <col min="7703" max="7936" width="8.7109375" style="21"/>
    <col min="7937" max="7937" width="14.5703125" style="21" customWidth="1"/>
    <col min="7938" max="7938" width="8.140625" style="21" customWidth="1"/>
    <col min="7939" max="7939" width="8.28515625" style="21" customWidth="1"/>
    <col min="7940" max="7940" width="7.42578125" style="21" customWidth="1"/>
    <col min="7941" max="7941" width="9.5703125" style="21" customWidth="1"/>
    <col min="7942" max="7942" width="8.28515625" style="21" customWidth="1"/>
    <col min="7943" max="7943" width="8.5703125" style="21" customWidth="1"/>
    <col min="7944" max="7946" width="8" style="21" customWidth="1"/>
    <col min="7947" max="7947" width="8.140625" style="21" customWidth="1"/>
    <col min="7948" max="7948" width="7.5703125" style="21" customWidth="1"/>
    <col min="7949" max="7949" width="8.140625" style="21" customWidth="1"/>
    <col min="7950" max="7950" width="0" style="21" hidden="1" customWidth="1"/>
    <col min="7951" max="7951" width="6.140625" style="21" customWidth="1"/>
    <col min="7952" max="7952" width="6.85546875" style="21" customWidth="1"/>
    <col min="7953" max="7953" width="7.28515625" style="21" customWidth="1"/>
    <col min="7954" max="7954" width="6.140625" style="21" customWidth="1"/>
    <col min="7955" max="7955" width="0" style="21" hidden="1" customWidth="1"/>
    <col min="7956" max="7956" width="6.5703125" style="21" customWidth="1"/>
    <col min="7957" max="7957" width="8" style="21" customWidth="1"/>
    <col min="7958" max="7958" width="7.5703125" style="21" customWidth="1"/>
    <col min="7959" max="8192" width="8.7109375" style="21"/>
    <col min="8193" max="8193" width="14.5703125" style="21" customWidth="1"/>
    <col min="8194" max="8194" width="8.140625" style="21" customWidth="1"/>
    <col min="8195" max="8195" width="8.28515625" style="21" customWidth="1"/>
    <col min="8196" max="8196" width="7.42578125" style="21" customWidth="1"/>
    <col min="8197" max="8197" width="9.5703125" style="21" customWidth="1"/>
    <col min="8198" max="8198" width="8.28515625" style="21" customWidth="1"/>
    <col min="8199" max="8199" width="8.5703125" style="21" customWidth="1"/>
    <col min="8200" max="8202" width="8" style="21" customWidth="1"/>
    <col min="8203" max="8203" width="8.140625" style="21" customWidth="1"/>
    <col min="8204" max="8204" width="7.5703125" style="21" customWidth="1"/>
    <col min="8205" max="8205" width="8.140625" style="21" customWidth="1"/>
    <col min="8206" max="8206" width="0" style="21" hidden="1" customWidth="1"/>
    <col min="8207" max="8207" width="6.140625" style="21" customWidth="1"/>
    <col min="8208" max="8208" width="6.85546875" style="21" customWidth="1"/>
    <col min="8209" max="8209" width="7.28515625" style="21" customWidth="1"/>
    <col min="8210" max="8210" width="6.140625" style="21" customWidth="1"/>
    <col min="8211" max="8211" width="0" style="21" hidden="1" customWidth="1"/>
    <col min="8212" max="8212" width="6.5703125" style="21" customWidth="1"/>
    <col min="8213" max="8213" width="8" style="21" customWidth="1"/>
    <col min="8214" max="8214" width="7.5703125" style="21" customWidth="1"/>
    <col min="8215" max="8448" width="8.7109375" style="21"/>
    <col min="8449" max="8449" width="14.5703125" style="21" customWidth="1"/>
    <col min="8450" max="8450" width="8.140625" style="21" customWidth="1"/>
    <col min="8451" max="8451" width="8.28515625" style="21" customWidth="1"/>
    <col min="8452" max="8452" width="7.42578125" style="21" customWidth="1"/>
    <col min="8453" max="8453" width="9.5703125" style="21" customWidth="1"/>
    <col min="8454" max="8454" width="8.28515625" style="21" customWidth="1"/>
    <col min="8455" max="8455" width="8.5703125" style="21" customWidth="1"/>
    <col min="8456" max="8458" width="8" style="21" customWidth="1"/>
    <col min="8459" max="8459" width="8.140625" style="21" customWidth="1"/>
    <col min="8460" max="8460" width="7.5703125" style="21" customWidth="1"/>
    <col min="8461" max="8461" width="8.140625" style="21" customWidth="1"/>
    <col min="8462" max="8462" width="0" style="21" hidden="1" customWidth="1"/>
    <col min="8463" max="8463" width="6.140625" style="21" customWidth="1"/>
    <col min="8464" max="8464" width="6.85546875" style="21" customWidth="1"/>
    <col min="8465" max="8465" width="7.28515625" style="21" customWidth="1"/>
    <col min="8466" max="8466" width="6.140625" style="21" customWidth="1"/>
    <col min="8467" max="8467" width="0" style="21" hidden="1" customWidth="1"/>
    <col min="8468" max="8468" width="6.5703125" style="21" customWidth="1"/>
    <col min="8469" max="8469" width="8" style="21" customWidth="1"/>
    <col min="8470" max="8470" width="7.5703125" style="21" customWidth="1"/>
    <col min="8471" max="8704" width="8.7109375" style="21"/>
    <col min="8705" max="8705" width="14.5703125" style="21" customWidth="1"/>
    <col min="8706" max="8706" width="8.140625" style="21" customWidth="1"/>
    <col min="8707" max="8707" width="8.28515625" style="21" customWidth="1"/>
    <col min="8708" max="8708" width="7.42578125" style="21" customWidth="1"/>
    <col min="8709" max="8709" width="9.5703125" style="21" customWidth="1"/>
    <col min="8710" max="8710" width="8.28515625" style="21" customWidth="1"/>
    <col min="8711" max="8711" width="8.5703125" style="21" customWidth="1"/>
    <col min="8712" max="8714" width="8" style="21" customWidth="1"/>
    <col min="8715" max="8715" width="8.140625" style="21" customWidth="1"/>
    <col min="8716" max="8716" width="7.5703125" style="21" customWidth="1"/>
    <col min="8717" max="8717" width="8.140625" style="21" customWidth="1"/>
    <col min="8718" max="8718" width="0" style="21" hidden="1" customWidth="1"/>
    <col min="8719" max="8719" width="6.140625" style="21" customWidth="1"/>
    <col min="8720" max="8720" width="6.85546875" style="21" customWidth="1"/>
    <col min="8721" max="8721" width="7.28515625" style="21" customWidth="1"/>
    <col min="8722" max="8722" width="6.140625" style="21" customWidth="1"/>
    <col min="8723" max="8723" width="0" style="21" hidden="1" customWidth="1"/>
    <col min="8724" max="8724" width="6.5703125" style="21" customWidth="1"/>
    <col min="8725" max="8725" width="8" style="21" customWidth="1"/>
    <col min="8726" max="8726" width="7.5703125" style="21" customWidth="1"/>
    <col min="8727" max="8960" width="8.7109375" style="21"/>
    <col min="8961" max="8961" width="14.5703125" style="21" customWidth="1"/>
    <col min="8962" max="8962" width="8.140625" style="21" customWidth="1"/>
    <col min="8963" max="8963" width="8.28515625" style="21" customWidth="1"/>
    <col min="8964" max="8964" width="7.42578125" style="21" customWidth="1"/>
    <col min="8965" max="8965" width="9.5703125" style="21" customWidth="1"/>
    <col min="8966" max="8966" width="8.28515625" style="21" customWidth="1"/>
    <col min="8967" max="8967" width="8.5703125" style="21" customWidth="1"/>
    <col min="8968" max="8970" width="8" style="21" customWidth="1"/>
    <col min="8971" max="8971" width="8.140625" style="21" customWidth="1"/>
    <col min="8972" max="8972" width="7.5703125" style="21" customWidth="1"/>
    <col min="8973" max="8973" width="8.140625" style="21" customWidth="1"/>
    <col min="8974" max="8974" width="0" style="21" hidden="1" customWidth="1"/>
    <col min="8975" max="8975" width="6.140625" style="21" customWidth="1"/>
    <col min="8976" max="8976" width="6.85546875" style="21" customWidth="1"/>
    <col min="8977" max="8977" width="7.28515625" style="21" customWidth="1"/>
    <col min="8978" max="8978" width="6.140625" style="21" customWidth="1"/>
    <col min="8979" max="8979" width="0" style="21" hidden="1" customWidth="1"/>
    <col min="8980" max="8980" width="6.5703125" style="21" customWidth="1"/>
    <col min="8981" max="8981" width="8" style="21" customWidth="1"/>
    <col min="8982" max="8982" width="7.5703125" style="21" customWidth="1"/>
    <col min="8983" max="9216" width="8.7109375" style="21"/>
    <col min="9217" max="9217" width="14.5703125" style="21" customWidth="1"/>
    <col min="9218" max="9218" width="8.140625" style="21" customWidth="1"/>
    <col min="9219" max="9219" width="8.28515625" style="21" customWidth="1"/>
    <col min="9220" max="9220" width="7.42578125" style="21" customWidth="1"/>
    <col min="9221" max="9221" width="9.5703125" style="21" customWidth="1"/>
    <col min="9222" max="9222" width="8.28515625" style="21" customWidth="1"/>
    <col min="9223" max="9223" width="8.5703125" style="21" customWidth="1"/>
    <col min="9224" max="9226" width="8" style="21" customWidth="1"/>
    <col min="9227" max="9227" width="8.140625" style="21" customWidth="1"/>
    <col min="9228" max="9228" width="7.5703125" style="21" customWidth="1"/>
    <col min="9229" max="9229" width="8.140625" style="21" customWidth="1"/>
    <col min="9230" max="9230" width="0" style="21" hidden="1" customWidth="1"/>
    <col min="9231" max="9231" width="6.140625" style="21" customWidth="1"/>
    <col min="9232" max="9232" width="6.85546875" style="21" customWidth="1"/>
    <col min="9233" max="9233" width="7.28515625" style="21" customWidth="1"/>
    <col min="9234" max="9234" width="6.140625" style="21" customWidth="1"/>
    <col min="9235" max="9235" width="0" style="21" hidden="1" customWidth="1"/>
    <col min="9236" max="9236" width="6.5703125" style="21" customWidth="1"/>
    <col min="9237" max="9237" width="8" style="21" customWidth="1"/>
    <col min="9238" max="9238" width="7.5703125" style="21" customWidth="1"/>
    <col min="9239" max="9472" width="8.7109375" style="21"/>
    <col min="9473" max="9473" width="14.5703125" style="21" customWidth="1"/>
    <col min="9474" max="9474" width="8.140625" style="21" customWidth="1"/>
    <col min="9475" max="9475" width="8.28515625" style="21" customWidth="1"/>
    <col min="9476" max="9476" width="7.42578125" style="21" customWidth="1"/>
    <col min="9477" max="9477" width="9.5703125" style="21" customWidth="1"/>
    <col min="9478" max="9478" width="8.28515625" style="21" customWidth="1"/>
    <col min="9479" max="9479" width="8.5703125" style="21" customWidth="1"/>
    <col min="9480" max="9482" width="8" style="21" customWidth="1"/>
    <col min="9483" max="9483" width="8.140625" style="21" customWidth="1"/>
    <col min="9484" max="9484" width="7.5703125" style="21" customWidth="1"/>
    <col min="9485" max="9485" width="8.140625" style="21" customWidth="1"/>
    <col min="9486" max="9486" width="0" style="21" hidden="1" customWidth="1"/>
    <col min="9487" max="9487" width="6.140625" style="21" customWidth="1"/>
    <col min="9488" max="9488" width="6.85546875" style="21" customWidth="1"/>
    <col min="9489" max="9489" width="7.28515625" style="21" customWidth="1"/>
    <col min="9490" max="9490" width="6.140625" style="21" customWidth="1"/>
    <col min="9491" max="9491" width="0" style="21" hidden="1" customWidth="1"/>
    <col min="9492" max="9492" width="6.5703125" style="21" customWidth="1"/>
    <col min="9493" max="9493" width="8" style="21" customWidth="1"/>
    <col min="9494" max="9494" width="7.5703125" style="21" customWidth="1"/>
    <col min="9495" max="9728" width="8.7109375" style="21"/>
    <col min="9729" max="9729" width="14.5703125" style="21" customWidth="1"/>
    <col min="9730" max="9730" width="8.140625" style="21" customWidth="1"/>
    <col min="9731" max="9731" width="8.28515625" style="21" customWidth="1"/>
    <col min="9732" max="9732" width="7.42578125" style="21" customWidth="1"/>
    <col min="9733" max="9733" width="9.5703125" style="21" customWidth="1"/>
    <col min="9734" max="9734" width="8.28515625" style="21" customWidth="1"/>
    <col min="9735" max="9735" width="8.5703125" style="21" customWidth="1"/>
    <col min="9736" max="9738" width="8" style="21" customWidth="1"/>
    <col min="9739" max="9739" width="8.140625" style="21" customWidth="1"/>
    <col min="9740" max="9740" width="7.5703125" style="21" customWidth="1"/>
    <col min="9741" max="9741" width="8.140625" style="21" customWidth="1"/>
    <col min="9742" max="9742" width="0" style="21" hidden="1" customWidth="1"/>
    <col min="9743" max="9743" width="6.140625" style="21" customWidth="1"/>
    <col min="9744" max="9744" width="6.85546875" style="21" customWidth="1"/>
    <col min="9745" max="9745" width="7.28515625" style="21" customWidth="1"/>
    <col min="9746" max="9746" width="6.140625" style="21" customWidth="1"/>
    <col min="9747" max="9747" width="0" style="21" hidden="1" customWidth="1"/>
    <col min="9748" max="9748" width="6.5703125" style="21" customWidth="1"/>
    <col min="9749" max="9749" width="8" style="21" customWidth="1"/>
    <col min="9750" max="9750" width="7.5703125" style="21" customWidth="1"/>
    <col min="9751" max="9984" width="8.7109375" style="21"/>
    <col min="9985" max="9985" width="14.5703125" style="21" customWidth="1"/>
    <col min="9986" max="9986" width="8.140625" style="21" customWidth="1"/>
    <col min="9987" max="9987" width="8.28515625" style="21" customWidth="1"/>
    <col min="9988" max="9988" width="7.42578125" style="21" customWidth="1"/>
    <col min="9989" max="9989" width="9.5703125" style="21" customWidth="1"/>
    <col min="9990" max="9990" width="8.28515625" style="21" customWidth="1"/>
    <col min="9991" max="9991" width="8.5703125" style="21" customWidth="1"/>
    <col min="9992" max="9994" width="8" style="21" customWidth="1"/>
    <col min="9995" max="9995" width="8.140625" style="21" customWidth="1"/>
    <col min="9996" max="9996" width="7.5703125" style="21" customWidth="1"/>
    <col min="9997" max="9997" width="8.140625" style="21" customWidth="1"/>
    <col min="9998" max="9998" width="0" style="21" hidden="1" customWidth="1"/>
    <col min="9999" max="9999" width="6.140625" style="21" customWidth="1"/>
    <col min="10000" max="10000" width="6.85546875" style="21" customWidth="1"/>
    <col min="10001" max="10001" width="7.28515625" style="21" customWidth="1"/>
    <col min="10002" max="10002" width="6.140625" style="21" customWidth="1"/>
    <col min="10003" max="10003" width="0" style="21" hidden="1" customWidth="1"/>
    <col min="10004" max="10004" width="6.5703125" style="21" customWidth="1"/>
    <col min="10005" max="10005" width="8" style="21" customWidth="1"/>
    <col min="10006" max="10006" width="7.5703125" style="21" customWidth="1"/>
    <col min="10007" max="10240" width="8.7109375" style="21"/>
    <col min="10241" max="10241" width="14.5703125" style="21" customWidth="1"/>
    <col min="10242" max="10242" width="8.140625" style="21" customWidth="1"/>
    <col min="10243" max="10243" width="8.28515625" style="21" customWidth="1"/>
    <col min="10244" max="10244" width="7.42578125" style="21" customWidth="1"/>
    <col min="10245" max="10245" width="9.5703125" style="21" customWidth="1"/>
    <col min="10246" max="10246" width="8.28515625" style="21" customWidth="1"/>
    <col min="10247" max="10247" width="8.5703125" style="21" customWidth="1"/>
    <col min="10248" max="10250" width="8" style="21" customWidth="1"/>
    <col min="10251" max="10251" width="8.140625" style="21" customWidth="1"/>
    <col min="10252" max="10252" width="7.5703125" style="21" customWidth="1"/>
    <col min="10253" max="10253" width="8.140625" style="21" customWidth="1"/>
    <col min="10254" max="10254" width="0" style="21" hidden="1" customWidth="1"/>
    <col min="10255" max="10255" width="6.140625" style="21" customWidth="1"/>
    <col min="10256" max="10256" width="6.85546875" style="21" customWidth="1"/>
    <col min="10257" max="10257" width="7.28515625" style="21" customWidth="1"/>
    <col min="10258" max="10258" width="6.140625" style="21" customWidth="1"/>
    <col min="10259" max="10259" width="0" style="21" hidden="1" customWidth="1"/>
    <col min="10260" max="10260" width="6.5703125" style="21" customWidth="1"/>
    <col min="10261" max="10261" width="8" style="21" customWidth="1"/>
    <col min="10262" max="10262" width="7.5703125" style="21" customWidth="1"/>
    <col min="10263" max="10496" width="8.7109375" style="21"/>
    <col min="10497" max="10497" width="14.5703125" style="21" customWidth="1"/>
    <col min="10498" max="10498" width="8.140625" style="21" customWidth="1"/>
    <col min="10499" max="10499" width="8.28515625" style="21" customWidth="1"/>
    <col min="10500" max="10500" width="7.42578125" style="21" customWidth="1"/>
    <col min="10501" max="10501" width="9.5703125" style="21" customWidth="1"/>
    <col min="10502" max="10502" width="8.28515625" style="21" customWidth="1"/>
    <col min="10503" max="10503" width="8.5703125" style="21" customWidth="1"/>
    <col min="10504" max="10506" width="8" style="21" customWidth="1"/>
    <col min="10507" max="10507" width="8.140625" style="21" customWidth="1"/>
    <col min="10508" max="10508" width="7.5703125" style="21" customWidth="1"/>
    <col min="10509" max="10509" width="8.140625" style="21" customWidth="1"/>
    <col min="10510" max="10510" width="0" style="21" hidden="1" customWidth="1"/>
    <col min="10511" max="10511" width="6.140625" style="21" customWidth="1"/>
    <col min="10512" max="10512" width="6.85546875" style="21" customWidth="1"/>
    <col min="10513" max="10513" width="7.28515625" style="21" customWidth="1"/>
    <col min="10514" max="10514" width="6.140625" style="21" customWidth="1"/>
    <col min="10515" max="10515" width="0" style="21" hidden="1" customWidth="1"/>
    <col min="10516" max="10516" width="6.5703125" style="21" customWidth="1"/>
    <col min="10517" max="10517" width="8" style="21" customWidth="1"/>
    <col min="10518" max="10518" width="7.5703125" style="21" customWidth="1"/>
    <col min="10519" max="10752" width="8.7109375" style="21"/>
    <col min="10753" max="10753" width="14.5703125" style="21" customWidth="1"/>
    <col min="10754" max="10754" width="8.140625" style="21" customWidth="1"/>
    <col min="10755" max="10755" width="8.28515625" style="21" customWidth="1"/>
    <col min="10756" max="10756" width="7.42578125" style="21" customWidth="1"/>
    <col min="10757" max="10757" width="9.5703125" style="21" customWidth="1"/>
    <col min="10758" max="10758" width="8.28515625" style="21" customWidth="1"/>
    <col min="10759" max="10759" width="8.5703125" style="21" customWidth="1"/>
    <col min="10760" max="10762" width="8" style="21" customWidth="1"/>
    <col min="10763" max="10763" width="8.140625" style="21" customWidth="1"/>
    <col min="10764" max="10764" width="7.5703125" style="21" customWidth="1"/>
    <col min="10765" max="10765" width="8.140625" style="21" customWidth="1"/>
    <col min="10766" max="10766" width="0" style="21" hidden="1" customWidth="1"/>
    <col min="10767" max="10767" width="6.140625" style="21" customWidth="1"/>
    <col min="10768" max="10768" width="6.85546875" style="21" customWidth="1"/>
    <col min="10769" max="10769" width="7.28515625" style="21" customWidth="1"/>
    <col min="10770" max="10770" width="6.140625" style="21" customWidth="1"/>
    <col min="10771" max="10771" width="0" style="21" hidden="1" customWidth="1"/>
    <col min="10772" max="10772" width="6.5703125" style="21" customWidth="1"/>
    <col min="10773" max="10773" width="8" style="21" customWidth="1"/>
    <col min="10774" max="10774" width="7.5703125" style="21" customWidth="1"/>
    <col min="10775" max="11008" width="8.7109375" style="21"/>
    <col min="11009" max="11009" width="14.5703125" style="21" customWidth="1"/>
    <col min="11010" max="11010" width="8.140625" style="21" customWidth="1"/>
    <col min="11011" max="11011" width="8.28515625" style="21" customWidth="1"/>
    <col min="11012" max="11012" width="7.42578125" style="21" customWidth="1"/>
    <col min="11013" max="11013" width="9.5703125" style="21" customWidth="1"/>
    <col min="11014" max="11014" width="8.28515625" style="21" customWidth="1"/>
    <col min="11015" max="11015" width="8.5703125" style="21" customWidth="1"/>
    <col min="11016" max="11018" width="8" style="21" customWidth="1"/>
    <col min="11019" max="11019" width="8.140625" style="21" customWidth="1"/>
    <col min="11020" max="11020" width="7.5703125" style="21" customWidth="1"/>
    <col min="11021" max="11021" width="8.140625" style="21" customWidth="1"/>
    <col min="11022" max="11022" width="0" style="21" hidden="1" customWidth="1"/>
    <col min="11023" max="11023" width="6.140625" style="21" customWidth="1"/>
    <col min="11024" max="11024" width="6.85546875" style="21" customWidth="1"/>
    <col min="11025" max="11025" width="7.28515625" style="21" customWidth="1"/>
    <col min="11026" max="11026" width="6.140625" style="21" customWidth="1"/>
    <col min="11027" max="11027" width="0" style="21" hidden="1" customWidth="1"/>
    <col min="11028" max="11028" width="6.5703125" style="21" customWidth="1"/>
    <col min="11029" max="11029" width="8" style="21" customWidth="1"/>
    <col min="11030" max="11030" width="7.5703125" style="21" customWidth="1"/>
    <col min="11031" max="11264" width="8.7109375" style="21"/>
    <col min="11265" max="11265" width="14.5703125" style="21" customWidth="1"/>
    <col min="11266" max="11266" width="8.140625" style="21" customWidth="1"/>
    <col min="11267" max="11267" width="8.28515625" style="21" customWidth="1"/>
    <col min="11268" max="11268" width="7.42578125" style="21" customWidth="1"/>
    <col min="11269" max="11269" width="9.5703125" style="21" customWidth="1"/>
    <col min="11270" max="11270" width="8.28515625" style="21" customWidth="1"/>
    <col min="11271" max="11271" width="8.5703125" style="21" customWidth="1"/>
    <col min="11272" max="11274" width="8" style="21" customWidth="1"/>
    <col min="11275" max="11275" width="8.140625" style="21" customWidth="1"/>
    <col min="11276" max="11276" width="7.5703125" style="21" customWidth="1"/>
    <col min="11277" max="11277" width="8.140625" style="21" customWidth="1"/>
    <col min="11278" max="11278" width="0" style="21" hidden="1" customWidth="1"/>
    <col min="11279" max="11279" width="6.140625" style="21" customWidth="1"/>
    <col min="11280" max="11280" width="6.85546875" style="21" customWidth="1"/>
    <col min="11281" max="11281" width="7.28515625" style="21" customWidth="1"/>
    <col min="11282" max="11282" width="6.140625" style="21" customWidth="1"/>
    <col min="11283" max="11283" width="0" style="21" hidden="1" customWidth="1"/>
    <col min="11284" max="11284" width="6.5703125" style="21" customWidth="1"/>
    <col min="11285" max="11285" width="8" style="21" customWidth="1"/>
    <col min="11286" max="11286" width="7.5703125" style="21" customWidth="1"/>
    <col min="11287" max="11520" width="8.7109375" style="21"/>
    <col min="11521" max="11521" width="14.5703125" style="21" customWidth="1"/>
    <col min="11522" max="11522" width="8.140625" style="21" customWidth="1"/>
    <col min="11523" max="11523" width="8.28515625" style="21" customWidth="1"/>
    <col min="11524" max="11524" width="7.42578125" style="21" customWidth="1"/>
    <col min="11525" max="11525" width="9.5703125" style="21" customWidth="1"/>
    <col min="11526" max="11526" width="8.28515625" style="21" customWidth="1"/>
    <col min="11527" max="11527" width="8.5703125" style="21" customWidth="1"/>
    <col min="11528" max="11530" width="8" style="21" customWidth="1"/>
    <col min="11531" max="11531" width="8.140625" style="21" customWidth="1"/>
    <col min="11532" max="11532" width="7.5703125" style="21" customWidth="1"/>
    <col min="11533" max="11533" width="8.140625" style="21" customWidth="1"/>
    <col min="11534" max="11534" width="0" style="21" hidden="1" customWidth="1"/>
    <col min="11535" max="11535" width="6.140625" style="21" customWidth="1"/>
    <col min="11536" max="11536" width="6.85546875" style="21" customWidth="1"/>
    <col min="11537" max="11537" width="7.28515625" style="21" customWidth="1"/>
    <col min="11538" max="11538" width="6.140625" style="21" customWidth="1"/>
    <col min="11539" max="11539" width="0" style="21" hidden="1" customWidth="1"/>
    <col min="11540" max="11540" width="6.5703125" style="21" customWidth="1"/>
    <col min="11541" max="11541" width="8" style="21" customWidth="1"/>
    <col min="11542" max="11542" width="7.5703125" style="21" customWidth="1"/>
    <col min="11543" max="11776" width="8.7109375" style="21"/>
    <col min="11777" max="11777" width="14.5703125" style="21" customWidth="1"/>
    <col min="11778" max="11778" width="8.140625" style="21" customWidth="1"/>
    <col min="11779" max="11779" width="8.28515625" style="21" customWidth="1"/>
    <col min="11780" max="11780" width="7.42578125" style="21" customWidth="1"/>
    <col min="11781" max="11781" width="9.5703125" style="21" customWidth="1"/>
    <col min="11782" max="11782" width="8.28515625" style="21" customWidth="1"/>
    <col min="11783" max="11783" width="8.5703125" style="21" customWidth="1"/>
    <col min="11784" max="11786" width="8" style="21" customWidth="1"/>
    <col min="11787" max="11787" width="8.140625" style="21" customWidth="1"/>
    <col min="11788" max="11788" width="7.5703125" style="21" customWidth="1"/>
    <col min="11789" max="11789" width="8.140625" style="21" customWidth="1"/>
    <col min="11790" max="11790" width="0" style="21" hidden="1" customWidth="1"/>
    <col min="11791" max="11791" width="6.140625" style="21" customWidth="1"/>
    <col min="11792" max="11792" width="6.85546875" style="21" customWidth="1"/>
    <col min="11793" max="11793" width="7.28515625" style="21" customWidth="1"/>
    <col min="11794" max="11794" width="6.140625" style="21" customWidth="1"/>
    <col min="11795" max="11795" width="0" style="21" hidden="1" customWidth="1"/>
    <col min="11796" max="11796" width="6.5703125" style="21" customWidth="1"/>
    <col min="11797" max="11797" width="8" style="21" customWidth="1"/>
    <col min="11798" max="11798" width="7.5703125" style="21" customWidth="1"/>
    <col min="11799" max="12032" width="8.7109375" style="21"/>
    <col min="12033" max="12033" width="14.5703125" style="21" customWidth="1"/>
    <col min="12034" max="12034" width="8.140625" style="21" customWidth="1"/>
    <col min="12035" max="12035" width="8.28515625" style="21" customWidth="1"/>
    <col min="12036" max="12036" width="7.42578125" style="21" customWidth="1"/>
    <col min="12037" max="12037" width="9.5703125" style="21" customWidth="1"/>
    <col min="12038" max="12038" width="8.28515625" style="21" customWidth="1"/>
    <col min="12039" max="12039" width="8.5703125" style="21" customWidth="1"/>
    <col min="12040" max="12042" width="8" style="21" customWidth="1"/>
    <col min="12043" max="12043" width="8.140625" style="21" customWidth="1"/>
    <col min="12044" max="12044" width="7.5703125" style="21" customWidth="1"/>
    <col min="12045" max="12045" width="8.140625" style="21" customWidth="1"/>
    <col min="12046" max="12046" width="0" style="21" hidden="1" customWidth="1"/>
    <col min="12047" max="12047" width="6.140625" style="21" customWidth="1"/>
    <col min="12048" max="12048" width="6.85546875" style="21" customWidth="1"/>
    <col min="12049" max="12049" width="7.28515625" style="21" customWidth="1"/>
    <col min="12050" max="12050" width="6.140625" style="21" customWidth="1"/>
    <col min="12051" max="12051" width="0" style="21" hidden="1" customWidth="1"/>
    <col min="12052" max="12052" width="6.5703125" style="21" customWidth="1"/>
    <col min="12053" max="12053" width="8" style="21" customWidth="1"/>
    <col min="12054" max="12054" width="7.5703125" style="21" customWidth="1"/>
    <col min="12055" max="12288" width="8.7109375" style="21"/>
    <col min="12289" max="12289" width="14.5703125" style="21" customWidth="1"/>
    <col min="12290" max="12290" width="8.140625" style="21" customWidth="1"/>
    <col min="12291" max="12291" width="8.28515625" style="21" customWidth="1"/>
    <col min="12292" max="12292" width="7.42578125" style="21" customWidth="1"/>
    <col min="12293" max="12293" width="9.5703125" style="21" customWidth="1"/>
    <col min="12294" max="12294" width="8.28515625" style="21" customWidth="1"/>
    <col min="12295" max="12295" width="8.5703125" style="21" customWidth="1"/>
    <col min="12296" max="12298" width="8" style="21" customWidth="1"/>
    <col min="12299" max="12299" width="8.140625" style="21" customWidth="1"/>
    <col min="12300" max="12300" width="7.5703125" style="21" customWidth="1"/>
    <col min="12301" max="12301" width="8.140625" style="21" customWidth="1"/>
    <col min="12302" max="12302" width="0" style="21" hidden="1" customWidth="1"/>
    <col min="12303" max="12303" width="6.140625" style="21" customWidth="1"/>
    <col min="12304" max="12304" width="6.85546875" style="21" customWidth="1"/>
    <col min="12305" max="12305" width="7.28515625" style="21" customWidth="1"/>
    <col min="12306" max="12306" width="6.140625" style="21" customWidth="1"/>
    <col min="12307" max="12307" width="0" style="21" hidden="1" customWidth="1"/>
    <col min="12308" max="12308" width="6.5703125" style="21" customWidth="1"/>
    <col min="12309" max="12309" width="8" style="21" customWidth="1"/>
    <col min="12310" max="12310" width="7.5703125" style="21" customWidth="1"/>
    <col min="12311" max="12544" width="8.7109375" style="21"/>
    <col min="12545" max="12545" width="14.5703125" style="21" customWidth="1"/>
    <col min="12546" max="12546" width="8.140625" style="21" customWidth="1"/>
    <col min="12547" max="12547" width="8.28515625" style="21" customWidth="1"/>
    <col min="12548" max="12548" width="7.42578125" style="21" customWidth="1"/>
    <col min="12549" max="12549" width="9.5703125" style="21" customWidth="1"/>
    <col min="12550" max="12550" width="8.28515625" style="21" customWidth="1"/>
    <col min="12551" max="12551" width="8.5703125" style="21" customWidth="1"/>
    <col min="12552" max="12554" width="8" style="21" customWidth="1"/>
    <col min="12555" max="12555" width="8.140625" style="21" customWidth="1"/>
    <col min="12556" max="12556" width="7.5703125" style="21" customWidth="1"/>
    <col min="12557" max="12557" width="8.140625" style="21" customWidth="1"/>
    <col min="12558" max="12558" width="0" style="21" hidden="1" customWidth="1"/>
    <col min="12559" max="12559" width="6.140625" style="21" customWidth="1"/>
    <col min="12560" max="12560" width="6.85546875" style="21" customWidth="1"/>
    <col min="12561" max="12561" width="7.28515625" style="21" customWidth="1"/>
    <col min="12562" max="12562" width="6.140625" style="21" customWidth="1"/>
    <col min="12563" max="12563" width="0" style="21" hidden="1" customWidth="1"/>
    <col min="12564" max="12564" width="6.5703125" style="21" customWidth="1"/>
    <col min="12565" max="12565" width="8" style="21" customWidth="1"/>
    <col min="12566" max="12566" width="7.5703125" style="21" customWidth="1"/>
    <col min="12567" max="12800" width="8.7109375" style="21"/>
    <col min="12801" max="12801" width="14.5703125" style="21" customWidth="1"/>
    <col min="12802" max="12802" width="8.140625" style="21" customWidth="1"/>
    <col min="12803" max="12803" width="8.28515625" style="21" customWidth="1"/>
    <col min="12804" max="12804" width="7.42578125" style="21" customWidth="1"/>
    <col min="12805" max="12805" width="9.5703125" style="21" customWidth="1"/>
    <col min="12806" max="12806" width="8.28515625" style="21" customWidth="1"/>
    <col min="12807" max="12807" width="8.5703125" style="21" customWidth="1"/>
    <col min="12808" max="12810" width="8" style="21" customWidth="1"/>
    <col min="12811" max="12811" width="8.140625" style="21" customWidth="1"/>
    <col min="12812" max="12812" width="7.5703125" style="21" customWidth="1"/>
    <col min="12813" max="12813" width="8.140625" style="21" customWidth="1"/>
    <col min="12814" max="12814" width="0" style="21" hidden="1" customWidth="1"/>
    <col min="12815" max="12815" width="6.140625" style="21" customWidth="1"/>
    <col min="12816" max="12816" width="6.85546875" style="21" customWidth="1"/>
    <col min="12817" max="12817" width="7.28515625" style="21" customWidth="1"/>
    <col min="12818" max="12818" width="6.140625" style="21" customWidth="1"/>
    <col min="12819" max="12819" width="0" style="21" hidden="1" customWidth="1"/>
    <col min="12820" max="12820" width="6.5703125" style="21" customWidth="1"/>
    <col min="12821" max="12821" width="8" style="21" customWidth="1"/>
    <col min="12822" max="12822" width="7.5703125" style="21" customWidth="1"/>
    <col min="12823" max="13056" width="8.7109375" style="21"/>
    <col min="13057" max="13057" width="14.5703125" style="21" customWidth="1"/>
    <col min="13058" max="13058" width="8.140625" style="21" customWidth="1"/>
    <col min="13059" max="13059" width="8.28515625" style="21" customWidth="1"/>
    <col min="13060" max="13060" width="7.42578125" style="21" customWidth="1"/>
    <col min="13061" max="13061" width="9.5703125" style="21" customWidth="1"/>
    <col min="13062" max="13062" width="8.28515625" style="21" customWidth="1"/>
    <col min="13063" max="13063" width="8.5703125" style="21" customWidth="1"/>
    <col min="13064" max="13066" width="8" style="21" customWidth="1"/>
    <col min="13067" max="13067" width="8.140625" style="21" customWidth="1"/>
    <col min="13068" max="13068" width="7.5703125" style="21" customWidth="1"/>
    <col min="13069" max="13069" width="8.140625" style="21" customWidth="1"/>
    <col min="13070" max="13070" width="0" style="21" hidden="1" customWidth="1"/>
    <col min="13071" max="13071" width="6.140625" style="21" customWidth="1"/>
    <col min="13072" max="13072" width="6.85546875" style="21" customWidth="1"/>
    <col min="13073" max="13073" width="7.28515625" style="21" customWidth="1"/>
    <col min="13074" max="13074" width="6.140625" style="21" customWidth="1"/>
    <col min="13075" max="13075" width="0" style="21" hidden="1" customWidth="1"/>
    <col min="13076" max="13076" width="6.5703125" style="21" customWidth="1"/>
    <col min="13077" max="13077" width="8" style="21" customWidth="1"/>
    <col min="13078" max="13078" width="7.5703125" style="21" customWidth="1"/>
    <col min="13079" max="13312" width="8.7109375" style="21"/>
    <col min="13313" max="13313" width="14.5703125" style="21" customWidth="1"/>
    <col min="13314" max="13314" width="8.140625" style="21" customWidth="1"/>
    <col min="13315" max="13315" width="8.28515625" style="21" customWidth="1"/>
    <col min="13316" max="13316" width="7.42578125" style="21" customWidth="1"/>
    <col min="13317" max="13317" width="9.5703125" style="21" customWidth="1"/>
    <col min="13318" max="13318" width="8.28515625" style="21" customWidth="1"/>
    <col min="13319" max="13319" width="8.5703125" style="21" customWidth="1"/>
    <col min="13320" max="13322" width="8" style="21" customWidth="1"/>
    <col min="13323" max="13323" width="8.140625" style="21" customWidth="1"/>
    <col min="13324" max="13324" width="7.5703125" style="21" customWidth="1"/>
    <col min="13325" max="13325" width="8.140625" style="21" customWidth="1"/>
    <col min="13326" max="13326" width="0" style="21" hidden="1" customWidth="1"/>
    <col min="13327" max="13327" width="6.140625" style="21" customWidth="1"/>
    <col min="13328" max="13328" width="6.85546875" style="21" customWidth="1"/>
    <col min="13329" max="13329" width="7.28515625" style="21" customWidth="1"/>
    <col min="13330" max="13330" width="6.140625" style="21" customWidth="1"/>
    <col min="13331" max="13331" width="0" style="21" hidden="1" customWidth="1"/>
    <col min="13332" max="13332" width="6.5703125" style="21" customWidth="1"/>
    <col min="13333" max="13333" width="8" style="21" customWidth="1"/>
    <col min="13334" max="13334" width="7.5703125" style="21" customWidth="1"/>
    <col min="13335" max="13568" width="8.7109375" style="21"/>
    <col min="13569" max="13569" width="14.5703125" style="21" customWidth="1"/>
    <col min="13570" max="13570" width="8.140625" style="21" customWidth="1"/>
    <col min="13571" max="13571" width="8.28515625" style="21" customWidth="1"/>
    <col min="13572" max="13572" width="7.42578125" style="21" customWidth="1"/>
    <col min="13573" max="13573" width="9.5703125" style="21" customWidth="1"/>
    <col min="13574" max="13574" width="8.28515625" style="21" customWidth="1"/>
    <col min="13575" max="13575" width="8.5703125" style="21" customWidth="1"/>
    <col min="13576" max="13578" width="8" style="21" customWidth="1"/>
    <col min="13579" max="13579" width="8.140625" style="21" customWidth="1"/>
    <col min="13580" max="13580" width="7.5703125" style="21" customWidth="1"/>
    <col min="13581" max="13581" width="8.140625" style="21" customWidth="1"/>
    <col min="13582" max="13582" width="0" style="21" hidden="1" customWidth="1"/>
    <col min="13583" max="13583" width="6.140625" style="21" customWidth="1"/>
    <col min="13584" max="13584" width="6.85546875" style="21" customWidth="1"/>
    <col min="13585" max="13585" width="7.28515625" style="21" customWidth="1"/>
    <col min="13586" max="13586" width="6.140625" style="21" customWidth="1"/>
    <col min="13587" max="13587" width="0" style="21" hidden="1" customWidth="1"/>
    <col min="13588" max="13588" width="6.5703125" style="21" customWidth="1"/>
    <col min="13589" max="13589" width="8" style="21" customWidth="1"/>
    <col min="13590" max="13590" width="7.5703125" style="21" customWidth="1"/>
    <col min="13591" max="13824" width="8.7109375" style="21"/>
    <col min="13825" max="13825" width="14.5703125" style="21" customWidth="1"/>
    <col min="13826" max="13826" width="8.140625" style="21" customWidth="1"/>
    <col min="13827" max="13827" width="8.28515625" style="21" customWidth="1"/>
    <col min="13828" max="13828" width="7.42578125" style="21" customWidth="1"/>
    <col min="13829" max="13829" width="9.5703125" style="21" customWidth="1"/>
    <col min="13830" max="13830" width="8.28515625" style="21" customWidth="1"/>
    <col min="13831" max="13831" width="8.5703125" style="21" customWidth="1"/>
    <col min="13832" max="13834" width="8" style="21" customWidth="1"/>
    <col min="13835" max="13835" width="8.140625" style="21" customWidth="1"/>
    <col min="13836" max="13836" width="7.5703125" style="21" customWidth="1"/>
    <col min="13837" max="13837" width="8.140625" style="21" customWidth="1"/>
    <col min="13838" max="13838" width="0" style="21" hidden="1" customWidth="1"/>
    <col min="13839" max="13839" width="6.140625" style="21" customWidth="1"/>
    <col min="13840" max="13840" width="6.85546875" style="21" customWidth="1"/>
    <col min="13841" max="13841" width="7.28515625" style="21" customWidth="1"/>
    <col min="13842" max="13842" width="6.140625" style="21" customWidth="1"/>
    <col min="13843" max="13843" width="0" style="21" hidden="1" customWidth="1"/>
    <col min="13844" max="13844" width="6.5703125" style="21" customWidth="1"/>
    <col min="13845" max="13845" width="8" style="21" customWidth="1"/>
    <col min="13846" max="13846" width="7.5703125" style="21" customWidth="1"/>
    <col min="13847" max="14080" width="8.7109375" style="21"/>
    <col min="14081" max="14081" width="14.5703125" style="21" customWidth="1"/>
    <col min="14082" max="14082" width="8.140625" style="21" customWidth="1"/>
    <col min="14083" max="14083" width="8.28515625" style="21" customWidth="1"/>
    <col min="14084" max="14084" width="7.42578125" style="21" customWidth="1"/>
    <col min="14085" max="14085" width="9.5703125" style="21" customWidth="1"/>
    <col min="14086" max="14086" width="8.28515625" style="21" customWidth="1"/>
    <col min="14087" max="14087" width="8.5703125" style="21" customWidth="1"/>
    <col min="14088" max="14090" width="8" style="21" customWidth="1"/>
    <col min="14091" max="14091" width="8.140625" style="21" customWidth="1"/>
    <col min="14092" max="14092" width="7.5703125" style="21" customWidth="1"/>
    <col min="14093" max="14093" width="8.140625" style="21" customWidth="1"/>
    <col min="14094" max="14094" width="0" style="21" hidden="1" customWidth="1"/>
    <col min="14095" max="14095" width="6.140625" style="21" customWidth="1"/>
    <col min="14096" max="14096" width="6.85546875" style="21" customWidth="1"/>
    <col min="14097" max="14097" width="7.28515625" style="21" customWidth="1"/>
    <col min="14098" max="14098" width="6.140625" style="21" customWidth="1"/>
    <col min="14099" max="14099" width="0" style="21" hidden="1" customWidth="1"/>
    <col min="14100" max="14100" width="6.5703125" style="21" customWidth="1"/>
    <col min="14101" max="14101" width="8" style="21" customWidth="1"/>
    <col min="14102" max="14102" width="7.5703125" style="21" customWidth="1"/>
    <col min="14103" max="14336" width="8.7109375" style="21"/>
    <col min="14337" max="14337" width="14.5703125" style="21" customWidth="1"/>
    <col min="14338" max="14338" width="8.140625" style="21" customWidth="1"/>
    <col min="14339" max="14339" width="8.28515625" style="21" customWidth="1"/>
    <col min="14340" max="14340" width="7.42578125" style="21" customWidth="1"/>
    <col min="14341" max="14341" width="9.5703125" style="21" customWidth="1"/>
    <col min="14342" max="14342" width="8.28515625" style="21" customWidth="1"/>
    <col min="14343" max="14343" width="8.5703125" style="21" customWidth="1"/>
    <col min="14344" max="14346" width="8" style="21" customWidth="1"/>
    <col min="14347" max="14347" width="8.140625" style="21" customWidth="1"/>
    <col min="14348" max="14348" width="7.5703125" style="21" customWidth="1"/>
    <col min="14349" max="14349" width="8.140625" style="21" customWidth="1"/>
    <col min="14350" max="14350" width="0" style="21" hidden="1" customWidth="1"/>
    <col min="14351" max="14351" width="6.140625" style="21" customWidth="1"/>
    <col min="14352" max="14352" width="6.85546875" style="21" customWidth="1"/>
    <col min="14353" max="14353" width="7.28515625" style="21" customWidth="1"/>
    <col min="14354" max="14354" width="6.140625" style="21" customWidth="1"/>
    <col min="14355" max="14355" width="0" style="21" hidden="1" customWidth="1"/>
    <col min="14356" max="14356" width="6.5703125" style="21" customWidth="1"/>
    <col min="14357" max="14357" width="8" style="21" customWidth="1"/>
    <col min="14358" max="14358" width="7.5703125" style="21" customWidth="1"/>
    <col min="14359" max="14592" width="8.7109375" style="21"/>
    <col min="14593" max="14593" width="14.5703125" style="21" customWidth="1"/>
    <col min="14594" max="14594" width="8.140625" style="21" customWidth="1"/>
    <col min="14595" max="14595" width="8.28515625" style="21" customWidth="1"/>
    <col min="14596" max="14596" width="7.42578125" style="21" customWidth="1"/>
    <col min="14597" max="14597" width="9.5703125" style="21" customWidth="1"/>
    <col min="14598" max="14598" width="8.28515625" style="21" customWidth="1"/>
    <col min="14599" max="14599" width="8.5703125" style="21" customWidth="1"/>
    <col min="14600" max="14602" width="8" style="21" customWidth="1"/>
    <col min="14603" max="14603" width="8.140625" style="21" customWidth="1"/>
    <col min="14604" max="14604" width="7.5703125" style="21" customWidth="1"/>
    <col min="14605" max="14605" width="8.140625" style="21" customWidth="1"/>
    <col min="14606" max="14606" width="0" style="21" hidden="1" customWidth="1"/>
    <col min="14607" max="14607" width="6.140625" style="21" customWidth="1"/>
    <col min="14608" max="14608" width="6.85546875" style="21" customWidth="1"/>
    <col min="14609" max="14609" width="7.28515625" style="21" customWidth="1"/>
    <col min="14610" max="14610" width="6.140625" style="21" customWidth="1"/>
    <col min="14611" max="14611" width="0" style="21" hidden="1" customWidth="1"/>
    <col min="14612" max="14612" width="6.5703125" style="21" customWidth="1"/>
    <col min="14613" max="14613" width="8" style="21" customWidth="1"/>
    <col min="14614" max="14614" width="7.5703125" style="21" customWidth="1"/>
    <col min="14615" max="14848" width="8.7109375" style="21"/>
    <col min="14849" max="14849" width="14.5703125" style="21" customWidth="1"/>
    <col min="14850" max="14850" width="8.140625" style="21" customWidth="1"/>
    <col min="14851" max="14851" width="8.28515625" style="21" customWidth="1"/>
    <col min="14852" max="14852" width="7.42578125" style="21" customWidth="1"/>
    <col min="14853" max="14853" width="9.5703125" style="21" customWidth="1"/>
    <col min="14854" max="14854" width="8.28515625" style="21" customWidth="1"/>
    <col min="14855" max="14855" width="8.5703125" style="21" customWidth="1"/>
    <col min="14856" max="14858" width="8" style="21" customWidth="1"/>
    <col min="14859" max="14859" width="8.140625" style="21" customWidth="1"/>
    <col min="14860" max="14860" width="7.5703125" style="21" customWidth="1"/>
    <col min="14861" max="14861" width="8.140625" style="21" customWidth="1"/>
    <col min="14862" max="14862" width="0" style="21" hidden="1" customWidth="1"/>
    <col min="14863" max="14863" width="6.140625" style="21" customWidth="1"/>
    <col min="14864" max="14864" width="6.85546875" style="21" customWidth="1"/>
    <col min="14865" max="14865" width="7.28515625" style="21" customWidth="1"/>
    <col min="14866" max="14866" width="6.140625" style="21" customWidth="1"/>
    <col min="14867" max="14867" width="0" style="21" hidden="1" customWidth="1"/>
    <col min="14868" max="14868" width="6.5703125" style="21" customWidth="1"/>
    <col min="14869" max="14869" width="8" style="21" customWidth="1"/>
    <col min="14870" max="14870" width="7.5703125" style="21" customWidth="1"/>
    <col min="14871" max="15104" width="8.7109375" style="21"/>
    <col min="15105" max="15105" width="14.5703125" style="21" customWidth="1"/>
    <col min="15106" max="15106" width="8.140625" style="21" customWidth="1"/>
    <col min="15107" max="15107" width="8.28515625" style="21" customWidth="1"/>
    <col min="15108" max="15108" width="7.42578125" style="21" customWidth="1"/>
    <col min="15109" max="15109" width="9.5703125" style="21" customWidth="1"/>
    <col min="15110" max="15110" width="8.28515625" style="21" customWidth="1"/>
    <col min="15111" max="15111" width="8.5703125" style="21" customWidth="1"/>
    <col min="15112" max="15114" width="8" style="21" customWidth="1"/>
    <col min="15115" max="15115" width="8.140625" style="21" customWidth="1"/>
    <col min="15116" max="15116" width="7.5703125" style="21" customWidth="1"/>
    <col min="15117" max="15117" width="8.140625" style="21" customWidth="1"/>
    <col min="15118" max="15118" width="0" style="21" hidden="1" customWidth="1"/>
    <col min="15119" max="15119" width="6.140625" style="21" customWidth="1"/>
    <col min="15120" max="15120" width="6.85546875" style="21" customWidth="1"/>
    <col min="15121" max="15121" width="7.28515625" style="21" customWidth="1"/>
    <col min="15122" max="15122" width="6.140625" style="21" customWidth="1"/>
    <col min="15123" max="15123" width="0" style="21" hidden="1" customWidth="1"/>
    <col min="15124" max="15124" width="6.5703125" style="21" customWidth="1"/>
    <col min="15125" max="15125" width="8" style="21" customWidth="1"/>
    <col min="15126" max="15126" width="7.5703125" style="21" customWidth="1"/>
    <col min="15127" max="15360" width="8.7109375" style="21"/>
    <col min="15361" max="15361" width="14.5703125" style="21" customWidth="1"/>
    <col min="15362" max="15362" width="8.140625" style="21" customWidth="1"/>
    <col min="15363" max="15363" width="8.28515625" style="21" customWidth="1"/>
    <col min="15364" max="15364" width="7.42578125" style="21" customWidth="1"/>
    <col min="15365" max="15365" width="9.5703125" style="21" customWidth="1"/>
    <col min="15366" max="15366" width="8.28515625" style="21" customWidth="1"/>
    <col min="15367" max="15367" width="8.5703125" style="21" customWidth="1"/>
    <col min="15368" max="15370" width="8" style="21" customWidth="1"/>
    <col min="15371" max="15371" width="8.140625" style="21" customWidth="1"/>
    <col min="15372" max="15372" width="7.5703125" style="21" customWidth="1"/>
    <col min="15373" max="15373" width="8.140625" style="21" customWidth="1"/>
    <col min="15374" max="15374" width="0" style="21" hidden="1" customWidth="1"/>
    <col min="15375" max="15375" width="6.140625" style="21" customWidth="1"/>
    <col min="15376" max="15376" width="6.85546875" style="21" customWidth="1"/>
    <col min="15377" max="15377" width="7.28515625" style="21" customWidth="1"/>
    <col min="15378" max="15378" width="6.140625" style="21" customWidth="1"/>
    <col min="15379" max="15379" width="0" style="21" hidden="1" customWidth="1"/>
    <col min="15380" max="15380" width="6.5703125" style="21" customWidth="1"/>
    <col min="15381" max="15381" width="8" style="21" customWidth="1"/>
    <col min="15382" max="15382" width="7.5703125" style="21" customWidth="1"/>
    <col min="15383" max="15616" width="8.7109375" style="21"/>
    <col min="15617" max="15617" width="14.5703125" style="21" customWidth="1"/>
    <col min="15618" max="15618" width="8.140625" style="21" customWidth="1"/>
    <col min="15619" max="15619" width="8.28515625" style="21" customWidth="1"/>
    <col min="15620" max="15620" width="7.42578125" style="21" customWidth="1"/>
    <col min="15621" max="15621" width="9.5703125" style="21" customWidth="1"/>
    <col min="15622" max="15622" width="8.28515625" style="21" customWidth="1"/>
    <col min="15623" max="15623" width="8.5703125" style="21" customWidth="1"/>
    <col min="15624" max="15626" width="8" style="21" customWidth="1"/>
    <col min="15627" max="15627" width="8.140625" style="21" customWidth="1"/>
    <col min="15628" max="15628" width="7.5703125" style="21" customWidth="1"/>
    <col min="15629" max="15629" width="8.140625" style="21" customWidth="1"/>
    <col min="15630" max="15630" width="0" style="21" hidden="1" customWidth="1"/>
    <col min="15631" max="15631" width="6.140625" style="21" customWidth="1"/>
    <col min="15632" max="15632" width="6.85546875" style="21" customWidth="1"/>
    <col min="15633" max="15633" width="7.28515625" style="21" customWidth="1"/>
    <col min="15634" max="15634" width="6.140625" style="21" customWidth="1"/>
    <col min="15635" max="15635" width="0" style="21" hidden="1" customWidth="1"/>
    <col min="15636" max="15636" width="6.5703125" style="21" customWidth="1"/>
    <col min="15637" max="15637" width="8" style="21" customWidth="1"/>
    <col min="15638" max="15638" width="7.5703125" style="21" customWidth="1"/>
    <col min="15639" max="15872" width="8.7109375" style="21"/>
    <col min="15873" max="15873" width="14.5703125" style="21" customWidth="1"/>
    <col min="15874" max="15874" width="8.140625" style="21" customWidth="1"/>
    <col min="15875" max="15875" width="8.28515625" style="21" customWidth="1"/>
    <col min="15876" max="15876" width="7.42578125" style="21" customWidth="1"/>
    <col min="15877" max="15877" width="9.5703125" style="21" customWidth="1"/>
    <col min="15878" max="15878" width="8.28515625" style="21" customWidth="1"/>
    <col min="15879" max="15879" width="8.5703125" style="21" customWidth="1"/>
    <col min="15880" max="15882" width="8" style="21" customWidth="1"/>
    <col min="15883" max="15883" width="8.140625" style="21" customWidth="1"/>
    <col min="15884" max="15884" width="7.5703125" style="21" customWidth="1"/>
    <col min="15885" max="15885" width="8.140625" style="21" customWidth="1"/>
    <col min="15886" max="15886" width="0" style="21" hidden="1" customWidth="1"/>
    <col min="15887" max="15887" width="6.140625" style="21" customWidth="1"/>
    <col min="15888" max="15888" width="6.85546875" style="21" customWidth="1"/>
    <col min="15889" max="15889" width="7.28515625" style="21" customWidth="1"/>
    <col min="15890" max="15890" width="6.140625" style="21" customWidth="1"/>
    <col min="15891" max="15891" width="0" style="21" hidden="1" customWidth="1"/>
    <col min="15892" max="15892" width="6.5703125" style="21" customWidth="1"/>
    <col min="15893" max="15893" width="8" style="21" customWidth="1"/>
    <col min="15894" max="15894" width="7.5703125" style="21" customWidth="1"/>
    <col min="15895" max="16128" width="8.7109375" style="21"/>
    <col min="16129" max="16129" width="14.5703125" style="21" customWidth="1"/>
    <col min="16130" max="16130" width="8.140625" style="21" customWidth="1"/>
    <col min="16131" max="16131" width="8.28515625" style="21" customWidth="1"/>
    <col min="16132" max="16132" width="7.42578125" style="21" customWidth="1"/>
    <col min="16133" max="16133" width="9.5703125" style="21" customWidth="1"/>
    <col min="16134" max="16134" width="8.28515625" style="21" customWidth="1"/>
    <col min="16135" max="16135" width="8.5703125" style="21" customWidth="1"/>
    <col min="16136" max="16138" width="8" style="21" customWidth="1"/>
    <col min="16139" max="16139" width="8.140625" style="21" customWidth="1"/>
    <col min="16140" max="16140" width="7.5703125" style="21" customWidth="1"/>
    <col min="16141" max="16141" width="8.140625" style="21" customWidth="1"/>
    <col min="16142" max="16142" width="0" style="21" hidden="1" customWidth="1"/>
    <col min="16143" max="16143" width="6.140625" style="21" customWidth="1"/>
    <col min="16144" max="16144" width="6.85546875" style="21" customWidth="1"/>
    <col min="16145" max="16145" width="7.28515625" style="21" customWidth="1"/>
    <col min="16146" max="16146" width="6.140625" style="21" customWidth="1"/>
    <col min="16147" max="16147" width="0" style="21" hidden="1" customWidth="1"/>
    <col min="16148" max="16148" width="6.5703125" style="21" customWidth="1"/>
    <col min="16149" max="16149" width="8" style="21" customWidth="1"/>
    <col min="16150" max="16150" width="7.5703125" style="21" customWidth="1"/>
    <col min="16151" max="16384" width="8.7109375" style="21"/>
  </cols>
  <sheetData>
    <row r="1" spans="1:21" x14ac:dyDescent="0.2">
      <c r="A1" s="42" t="s">
        <v>403</v>
      </c>
      <c r="B1" s="8"/>
      <c r="C1" s="8"/>
      <c r="D1" s="8"/>
      <c r="E1" s="8"/>
      <c r="F1" s="8"/>
      <c r="G1" s="8"/>
      <c r="H1" s="8"/>
      <c r="I1" s="8"/>
      <c r="J1" s="8"/>
      <c r="K1" s="8"/>
      <c r="L1" s="8"/>
      <c r="M1" s="8"/>
      <c r="N1" s="8"/>
      <c r="O1" s="8"/>
    </row>
    <row r="2" spans="1:21" x14ac:dyDescent="0.2">
      <c r="A2" s="8" t="s">
        <v>138</v>
      </c>
      <c r="B2" s="28" t="s">
        <v>139</v>
      </c>
      <c r="C2" s="28" t="s">
        <v>140</v>
      </c>
      <c r="D2" s="28" t="s">
        <v>141</v>
      </c>
      <c r="E2" s="28" t="s">
        <v>142</v>
      </c>
      <c r="F2" s="28" t="s">
        <v>143</v>
      </c>
      <c r="G2" s="28" t="s">
        <v>144</v>
      </c>
      <c r="H2" s="28" t="s">
        <v>145</v>
      </c>
      <c r="I2" s="28" t="s">
        <v>146</v>
      </c>
      <c r="J2" s="28" t="s">
        <v>147</v>
      </c>
      <c r="K2" s="28" t="s">
        <v>135</v>
      </c>
      <c r="L2" s="28" t="s">
        <v>148</v>
      </c>
      <c r="M2" s="28" t="s">
        <v>149</v>
      </c>
      <c r="N2" s="28"/>
      <c r="O2" s="79" t="s">
        <v>77</v>
      </c>
      <c r="P2" s="194" t="s">
        <v>80</v>
      </c>
      <c r="Q2" s="194" t="s">
        <v>83</v>
      </c>
      <c r="R2" s="194" t="s">
        <v>84</v>
      </c>
      <c r="S2" s="28"/>
      <c r="T2" s="195" t="s">
        <v>150</v>
      </c>
      <c r="U2" s="195" t="s">
        <v>151</v>
      </c>
    </row>
    <row r="3" spans="1:21" x14ac:dyDescent="0.2">
      <c r="B3" s="31"/>
      <c r="C3" s="31"/>
      <c r="D3" s="31"/>
      <c r="E3" s="31"/>
      <c r="F3" s="31"/>
      <c r="G3" s="31"/>
      <c r="H3" s="31"/>
      <c r="I3" s="31"/>
      <c r="J3" s="31"/>
      <c r="K3" s="31"/>
      <c r="L3" s="31"/>
      <c r="M3" s="31"/>
      <c r="N3" s="31"/>
      <c r="O3" s="31"/>
      <c r="P3" s="31"/>
      <c r="Q3" s="31"/>
      <c r="R3" s="31"/>
      <c r="S3" s="31"/>
      <c r="T3" s="31"/>
      <c r="U3" s="31"/>
    </row>
    <row r="4" spans="1:21" x14ac:dyDescent="0.2">
      <c r="A4" s="12"/>
      <c r="B4" s="12"/>
      <c r="C4" s="12"/>
      <c r="D4" s="12"/>
      <c r="E4" s="12"/>
      <c r="F4" s="12"/>
      <c r="G4" s="12"/>
      <c r="H4" s="12"/>
      <c r="I4" s="12"/>
      <c r="J4" s="12"/>
      <c r="K4" s="12"/>
      <c r="L4" s="12"/>
      <c r="M4" s="12"/>
      <c r="N4" s="12"/>
      <c r="O4" s="12"/>
      <c r="P4" s="12"/>
      <c r="Q4" s="12"/>
      <c r="R4" s="12"/>
      <c r="S4" s="12"/>
      <c r="T4" s="12"/>
      <c r="U4" s="12"/>
    </row>
    <row r="5" spans="1:21" x14ac:dyDescent="0.2">
      <c r="A5" s="36" t="s">
        <v>351</v>
      </c>
      <c r="B5" s="12"/>
      <c r="C5" s="12"/>
      <c r="D5" s="12"/>
      <c r="E5" s="12"/>
      <c r="F5" s="12"/>
      <c r="G5" s="12"/>
      <c r="H5" s="12"/>
      <c r="I5" s="12"/>
      <c r="J5" s="12"/>
      <c r="K5" s="12"/>
      <c r="L5" s="12"/>
      <c r="M5" s="12"/>
      <c r="N5" s="12"/>
      <c r="O5" s="12"/>
      <c r="P5" s="12"/>
      <c r="Q5" s="12"/>
      <c r="R5" s="12"/>
      <c r="S5" s="12"/>
      <c r="T5" s="12"/>
      <c r="U5" s="12"/>
    </row>
    <row r="6" spans="1:21" x14ac:dyDescent="0.2">
      <c r="A6" s="76">
        <v>1992</v>
      </c>
      <c r="B6" s="36">
        <v>301.47500000000002</v>
      </c>
      <c r="C6" s="36">
        <v>284.30700000000002</v>
      </c>
      <c r="D6" s="36">
        <v>315.29599999999999</v>
      </c>
      <c r="E6" s="36">
        <v>311.66500000000002</v>
      </c>
      <c r="F6" s="36">
        <v>282.916</v>
      </c>
      <c r="G6" s="36">
        <v>340.69799999999998</v>
      </c>
      <c r="H6" s="36">
        <v>343.54899999999998</v>
      </c>
      <c r="I6" s="36">
        <v>356.36500000000001</v>
      </c>
      <c r="J6" s="36">
        <v>374.99400000000003</v>
      </c>
      <c r="K6" s="36">
        <v>342.58800000000002</v>
      </c>
      <c r="L6" s="36">
        <v>357.10500000000002</v>
      </c>
      <c r="M6" s="36">
        <v>355.1</v>
      </c>
      <c r="N6" s="83"/>
      <c r="O6" s="36">
        <f t="shared" ref="O6:O38" si="0">SUM(B6:D6)</f>
        <v>901.07799999999997</v>
      </c>
      <c r="P6" s="36">
        <f t="shared" ref="P6:P15" si="1">SUM(E6:G6)</f>
        <v>935.279</v>
      </c>
      <c r="Q6" s="36">
        <f t="shared" ref="Q6:Q38" si="2">SUM(H6:J6)</f>
        <v>1074.9079999999999</v>
      </c>
      <c r="R6" s="36">
        <f t="shared" ref="R6:R36" si="3">SUM(K6:M6)</f>
        <v>1054.7930000000001</v>
      </c>
      <c r="S6" s="83"/>
      <c r="T6" s="36">
        <v>3902.3270000000002</v>
      </c>
      <c r="U6" s="36">
        <f t="shared" ref="U6:U36" si="4">SUM(O6:R6)</f>
        <v>3966.058</v>
      </c>
    </row>
    <row r="7" spans="1:21" x14ac:dyDescent="0.2">
      <c r="A7" s="76">
        <v>1993</v>
      </c>
      <c r="B7" s="36">
        <v>303.101</v>
      </c>
      <c r="C7" s="36">
        <v>287.37</v>
      </c>
      <c r="D7" s="36">
        <v>397.13</v>
      </c>
      <c r="E7" s="36">
        <v>299.20299999999997</v>
      </c>
      <c r="F7" s="36">
        <v>328.238</v>
      </c>
      <c r="G7" s="36">
        <v>366.928</v>
      </c>
      <c r="H7" s="36">
        <v>358.06299999999999</v>
      </c>
      <c r="I7" s="36">
        <v>372.178</v>
      </c>
      <c r="J7" s="36">
        <v>366.69799999999998</v>
      </c>
      <c r="K7" s="36">
        <v>345.93599999999998</v>
      </c>
      <c r="L7" s="36">
        <v>324.67599999999999</v>
      </c>
      <c r="M7" s="36">
        <v>337.81900000000002</v>
      </c>
      <c r="N7" s="83"/>
      <c r="O7" s="36">
        <f t="shared" si="0"/>
        <v>987.601</v>
      </c>
      <c r="P7" s="36">
        <f t="shared" si="1"/>
        <v>994.36900000000003</v>
      </c>
      <c r="Q7" s="36">
        <f t="shared" si="2"/>
        <v>1096.9389999999999</v>
      </c>
      <c r="R7" s="36">
        <f t="shared" si="3"/>
        <v>1008.431</v>
      </c>
      <c r="S7" s="83"/>
      <c r="T7" s="36">
        <f>R6+O7+P7+Q7</f>
        <v>4133.7020000000002</v>
      </c>
      <c r="U7" s="36">
        <f t="shared" si="4"/>
        <v>4087.3399999999997</v>
      </c>
    </row>
    <row r="8" spans="1:21" x14ac:dyDescent="0.2">
      <c r="A8" s="76">
        <v>1994</v>
      </c>
      <c r="B8" s="36">
        <v>311.721</v>
      </c>
      <c r="C8" s="36">
        <v>313.05</v>
      </c>
      <c r="D8" s="36">
        <v>370.488</v>
      </c>
      <c r="E8" s="36">
        <v>303.24</v>
      </c>
      <c r="F8" s="36">
        <v>337.85500000000002</v>
      </c>
      <c r="G8" s="36">
        <v>405.96800000000002</v>
      </c>
      <c r="H8" s="36">
        <v>360.142</v>
      </c>
      <c r="I8" s="36">
        <v>406.25799999999998</v>
      </c>
      <c r="J8" s="36">
        <v>437.22399999999999</v>
      </c>
      <c r="K8" s="36">
        <v>338.11500000000001</v>
      </c>
      <c r="L8" s="36">
        <v>304.44799999999998</v>
      </c>
      <c r="M8" s="36">
        <v>281.57600000000002</v>
      </c>
      <c r="N8" s="83"/>
      <c r="O8" s="36">
        <f t="shared" si="0"/>
        <v>995.25900000000001</v>
      </c>
      <c r="P8" s="36">
        <f t="shared" si="1"/>
        <v>1047.0630000000001</v>
      </c>
      <c r="Q8" s="36">
        <f t="shared" si="2"/>
        <v>1203.624</v>
      </c>
      <c r="R8" s="36">
        <f t="shared" si="3"/>
        <v>924.13900000000001</v>
      </c>
      <c r="S8" s="83"/>
      <c r="T8" s="36">
        <f>R7+O8+P8+Q8</f>
        <v>4254.3770000000004</v>
      </c>
      <c r="U8" s="36">
        <f t="shared" si="4"/>
        <v>4170.085</v>
      </c>
    </row>
    <row r="9" spans="1:21" x14ac:dyDescent="0.2">
      <c r="A9" s="86">
        <v>1995</v>
      </c>
      <c r="B9" s="36">
        <v>301.05799999999999</v>
      </c>
      <c r="C9" s="36">
        <v>310.63099999999997</v>
      </c>
      <c r="D9" s="36">
        <v>377.69</v>
      </c>
      <c r="E9" s="36">
        <v>310.77999999999997</v>
      </c>
      <c r="F9" s="36">
        <v>355.66800000000001</v>
      </c>
      <c r="G9" s="36">
        <v>399.15499999999997</v>
      </c>
      <c r="H9" s="36">
        <v>384.44299999999998</v>
      </c>
      <c r="I9" s="36">
        <v>450.06400000000002</v>
      </c>
      <c r="J9" s="36">
        <v>465.36799999999999</v>
      </c>
      <c r="K9" s="36">
        <v>404.19900000000001</v>
      </c>
      <c r="L9" s="36">
        <v>395.45</v>
      </c>
      <c r="M9" s="36">
        <v>331.452</v>
      </c>
      <c r="N9" s="83"/>
      <c r="O9" s="36">
        <f t="shared" si="0"/>
        <v>989.37899999999991</v>
      </c>
      <c r="P9" s="36">
        <f t="shared" si="1"/>
        <v>1065.6030000000001</v>
      </c>
      <c r="Q9" s="36">
        <f t="shared" si="2"/>
        <v>1299.875</v>
      </c>
      <c r="R9" s="36">
        <f t="shared" si="3"/>
        <v>1131.1010000000001</v>
      </c>
      <c r="S9" s="83"/>
      <c r="T9" s="36">
        <v>4279</v>
      </c>
      <c r="U9" s="36">
        <f t="shared" si="4"/>
        <v>4485.9580000000005</v>
      </c>
    </row>
    <row r="10" spans="1:21" x14ac:dyDescent="0.2">
      <c r="A10" s="86">
        <v>1996</v>
      </c>
      <c r="B10" s="36">
        <v>316.17599999999999</v>
      </c>
      <c r="C10" s="36">
        <v>341.5</v>
      </c>
      <c r="D10" s="36">
        <v>360.50299999999999</v>
      </c>
      <c r="E10" s="36">
        <v>343.45499999999998</v>
      </c>
      <c r="F10" s="36">
        <v>337.55700000000002</v>
      </c>
      <c r="G10" s="36">
        <v>324.85899999999998</v>
      </c>
      <c r="H10" s="36">
        <v>349.52600000000001</v>
      </c>
      <c r="I10" s="36">
        <v>334.75099999999998</v>
      </c>
      <c r="J10" s="36">
        <v>299.79599999999999</v>
      </c>
      <c r="K10" s="36">
        <v>333.41399999999999</v>
      </c>
      <c r="L10" s="36">
        <v>314.73</v>
      </c>
      <c r="M10" s="36">
        <v>266.96899999999999</v>
      </c>
      <c r="N10" s="83"/>
      <c r="O10" s="36">
        <f t="shared" si="0"/>
        <v>1018.1789999999999</v>
      </c>
      <c r="P10" s="36">
        <f t="shared" si="1"/>
        <v>1005.8709999999999</v>
      </c>
      <c r="Q10" s="36">
        <f t="shared" si="2"/>
        <v>984.07300000000009</v>
      </c>
      <c r="R10" s="36">
        <f t="shared" si="3"/>
        <v>915.11300000000006</v>
      </c>
      <c r="S10" s="83"/>
      <c r="T10" s="36">
        <f t="shared" ref="T10:T33" si="5">R9+O10+P10+Q10</f>
        <v>4139.2240000000002</v>
      </c>
      <c r="U10" s="36">
        <f t="shared" si="4"/>
        <v>3923.2359999999999</v>
      </c>
    </row>
    <row r="11" spans="1:21" x14ac:dyDescent="0.2">
      <c r="A11" s="86">
        <v>1997</v>
      </c>
      <c r="B11" s="36">
        <v>280.48200000000003</v>
      </c>
      <c r="C11" s="36">
        <v>271.51400000000001</v>
      </c>
      <c r="D11" s="36">
        <v>315.053</v>
      </c>
      <c r="E11" s="36">
        <v>312.34100000000001</v>
      </c>
      <c r="F11" s="36">
        <v>325.73700000000002</v>
      </c>
      <c r="G11" s="36">
        <v>331.55799999999999</v>
      </c>
      <c r="H11" s="36">
        <v>350.65600000000001</v>
      </c>
      <c r="I11" s="36">
        <v>373.06700000000001</v>
      </c>
      <c r="J11" s="36">
        <v>427.91899999999998</v>
      </c>
      <c r="K11" s="36">
        <v>375.04199999999997</v>
      </c>
      <c r="L11" s="36">
        <v>316.46899999999999</v>
      </c>
      <c r="M11" s="36">
        <v>317.24599999999998</v>
      </c>
      <c r="N11" s="83"/>
      <c r="O11" s="36">
        <f t="shared" si="0"/>
        <v>867.04900000000009</v>
      </c>
      <c r="P11" s="36">
        <f t="shared" si="1"/>
        <v>969.63599999999997</v>
      </c>
      <c r="Q11" s="36">
        <f t="shared" si="2"/>
        <v>1151.6419999999998</v>
      </c>
      <c r="R11" s="36">
        <f t="shared" si="3"/>
        <v>1008.7569999999999</v>
      </c>
      <c r="S11" s="83"/>
      <c r="T11" s="36">
        <f t="shared" si="5"/>
        <v>3903.44</v>
      </c>
      <c r="U11" s="36">
        <f t="shared" si="4"/>
        <v>3997.0839999999998</v>
      </c>
    </row>
    <row r="12" spans="1:21" x14ac:dyDescent="0.2">
      <c r="A12" s="86">
        <v>1998</v>
      </c>
      <c r="B12" s="36">
        <v>324.05599999999998</v>
      </c>
      <c r="C12" s="36">
        <v>315.86900000000003</v>
      </c>
      <c r="D12" s="36">
        <v>362.26100000000002</v>
      </c>
      <c r="E12" s="36">
        <v>344.02800000000002</v>
      </c>
      <c r="F12" s="36">
        <v>341.85700000000003</v>
      </c>
      <c r="G12" s="36">
        <v>401.04700000000003</v>
      </c>
      <c r="H12" s="36">
        <v>393.267</v>
      </c>
      <c r="I12" s="36">
        <v>387.54599999999999</v>
      </c>
      <c r="J12" s="36">
        <v>409.07799999999997</v>
      </c>
      <c r="K12" s="36">
        <v>391.96100000000001</v>
      </c>
      <c r="L12" s="36">
        <v>334.05799999999999</v>
      </c>
      <c r="M12" s="36">
        <v>308.03300000000002</v>
      </c>
      <c r="N12" s="83"/>
      <c r="O12" s="36">
        <f t="shared" si="0"/>
        <v>1002.1859999999999</v>
      </c>
      <c r="P12" s="36">
        <f t="shared" si="1"/>
        <v>1086.932</v>
      </c>
      <c r="Q12" s="36">
        <f t="shared" si="2"/>
        <v>1189.8910000000001</v>
      </c>
      <c r="R12" s="36">
        <f t="shared" si="3"/>
        <v>1034.0520000000001</v>
      </c>
      <c r="S12" s="83"/>
      <c r="T12" s="36">
        <f t="shared" si="5"/>
        <v>4287.7659999999996</v>
      </c>
      <c r="U12" s="36">
        <f t="shared" si="4"/>
        <v>4313.0609999999997</v>
      </c>
    </row>
    <row r="13" spans="1:21" x14ac:dyDescent="0.2">
      <c r="A13" s="86">
        <v>1999</v>
      </c>
      <c r="B13" s="36">
        <v>318.75200000000001</v>
      </c>
      <c r="C13" s="36">
        <v>324.88400000000001</v>
      </c>
      <c r="D13" s="36">
        <v>373.92099999999999</v>
      </c>
      <c r="E13" s="36">
        <v>345.81900000000002</v>
      </c>
      <c r="F13" s="36">
        <v>360.82900000000001</v>
      </c>
      <c r="G13" s="36">
        <v>417.279</v>
      </c>
      <c r="H13" s="36">
        <v>400.47399999999999</v>
      </c>
      <c r="I13" s="36">
        <v>426.80200000000002</v>
      </c>
      <c r="J13" s="36">
        <v>416.29700000000003</v>
      </c>
      <c r="K13" s="36">
        <v>438.072</v>
      </c>
      <c r="L13" s="36">
        <v>391.64100000000002</v>
      </c>
      <c r="M13" s="36">
        <v>321.029</v>
      </c>
      <c r="N13" s="83"/>
      <c r="O13" s="36">
        <f t="shared" si="0"/>
        <v>1017.557</v>
      </c>
      <c r="P13" s="36">
        <f t="shared" si="1"/>
        <v>1123.9270000000001</v>
      </c>
      <c r="Q13" s="36">
        <f t="shared" si="2"/>
        <v>1243.5730000000001</v>
      </c>
      <c r="R13" s="36">
        <f t="shared" si="3"/>
        <v>1150.742</v>
      </c>
      <c r="S13" s="83"/>
      <c r="T13" s="36">
        <f t="shared" si="5"/>
        <v>4419.1090000000004</v>
      </c>
      <c r="U13" s="36">
        <f t="shared" si="4"/>
        <v>4535.7990000000009</v>
      </c>
    </row>
    <row r="14" spans="1:21" x14ac:dyDescent="0.2">
      <c r="A14" s="76">
        <v>2000</v>
      </c>
      <c r="B14" s="36">
        <v>319.762</v>
      </c>
      <c r="C14" s="36">
        <v>340.35500000000002</v>
      </c>
      <c r="D14" s="36">
        <v>384.90899999999999</v>
      </c>
      <c r="E14" s="36">
        <v>340.83699999999999</v>
      </c>
      <c r="F14" s="36">
        <v>392.71699999999998</v>
      </c>
      <c r="G14" s="36">
        <v>384.31799999999998</v>
      </c>
      <c r="H14" s="36">
        <v>348.399</v>
      </c>
      <c r="I14" s="36">
        <v>410.71899999999999</v>
      </c>
      <c r="J14" s="36">
        <v>392.45299999999997</v>
      </c>
      <c r="K14" s="36">
        <v>412.01900000000001</v>
      </c>
      <c r="L14" s="36">
        <v>377.80799999999999</v>
      </c>
      <c r="M14" s="36">
        <v>328.74599999999998</v>
      </c>
      <c r="N14" s="83"/>
      <c r="O14" s="36">
        <f t="shared" si="0"/>
        <v>1045.0259999999998</v>
      </c>
      <c r="P14" s="36">
        <f t="shared" si="1"/>
        <v>1117.8719999999998</v>
      </c>
      <c r="Q14" s="36">
        <f t="shared" si="2"/>
        <v>1151.5709999999999</v>
      </c>
      <c r="R14" s="36">
        <f t="shared" si="3"/>
        <v>1118.5729999999999</v>
      </c>
      <c r="S14" s="83"/>
      <c r="T14" s="36">
        <f t="shared" si="5"/>
        <v>4465.2109999999993</v>
      </c>
      <c r="U14" s="36">
        <f t="shared" si="4"/>
        <v>4433.0419999999995</v>
      </c>
    </row>
    <row r="15" spans="1:21" x14ac:dyDescent="0.2">
      <c r="A15" s="82">
        <v>2001</v>
      </c>
      <c r="B15" s="36">
        <v>365.86799999999999</v>
      </c>
      <c r="C15" s="36">
        <v>346.00099999999998</v>
      </c>
      <c r="D15" s="36">
        <v>401.31900000000002</v>
      </c>
      <c r="E15" s="36">
        <v>374.92899999999997</v>
      </c>
      <c r="F15" s="36">
        <v>405.34800000000001</v>
      </c>
      <c r="G15" s="36">
        <v>402.81299999999999</v>
      </c>
      <c r="H15" s="36">
        <v>413.56</v>
      </c>
      <c r="I15" s="36">
        <v>450.46800000000002</v>
      </c>
      <c r="J15" s="36">
        <v>407.51900000000001</v>
      </c>
      <c r="K15" s="36">
        <v>429.12299999999999</v>
      </c>
      <c r="L15" s="36">
        <v>372.66300000000001</v>
      </c>
      <c r="M15" s="36">
        <v>310.63200000000001</v>
      </c>
      <c r="N15" s="83"/>
      <c r="O15" s="36">
        <f t="shared" si="0"/>
        <v>1113.1879999999999</v>
      </c>
      <c r="P15" s="36">
        <f t="shared" si="1"/>
        <v>1183.0900000000001</v>
      </c>
      <c r="Q15" s="36">
        <f t="shared" si="2"/>
        <v>1271.547</v>
      </c>
      <c r="R15" s="36">
        <f t="shared" si="3"/>
        <v>1112.4180000000001</v>
      </c>
      <c r="S15" s="83"/>
      <c r="T15" s="36">
        <f t="shared" si="5"/>
        <v>4686.3979999999992</v>
      </c>
      <c r="U15" s="36">
        <f t="shared" si="4"/>
        <v>4680.2430000000004</v>
      </c>
    </row>
    <row r="16" spans="1:21" x14ac:dyDescent="0.2">
      <c r="A16" s="84">
        <v>2002</v>
      </c>
      <c r="B16" s="36">
        <v>349.11399999999998</v>
      </c>
      <c r="C16" s="36">
        <v>315.363</v>
      </c>
      <c r="D16" s="36">
        <v>347.11700000000002</v>
      </c>
      <c r="E16" s="36">
        <v>339.87</v>
      </c>
      <c r="F16" s="36">
        <v>374.87599999999998</v>
      </c>
      <c r="G16" s="36">
        <v>331.88</v>
      </c>
      <c r="H16" s="36">
        <v>369.30599999999998</v>
      </c>
      <c r="I16" s="36">
        <v>365.28199999999998</v>
      </c>
      <c r="J16" s="36">
        <v>379.54</v>
      </c>
      <c r="K16" s="36">
        <v>422.87550000000005</v>
      </c>
      <c r="L16" s="36">
        <v>396.09249999999997</v>
      </c>
      <c r="M16" s="36">
        <v>299.61399999999998</v>
      </c>
      <c r="N16" s="83"/>
      <c r="O16" s="36">
        <f t="shared" si="0"/>
        <v>1011.5940000000001</v>
      </c>
      <c r="P16" s="36">
        <f t="shared" ref="P16:P38" si="6">SUM(E16:G16)</f>
        <v>1046.626</v>
      </c>
      <c r="Q16" s="36">
        <f t="shared" si="2"/>
        <v>1114.1279999999999</v>
      </c>
      <c r="R16" s="36">
        <f t="shared" si="3"/>
        <v>1118.5820000000001</v>
      </c>
      <c r="S16" s="83"/>
      <c r="T16" s="36">
        <f t="shared" si="5"/>
        <v>4284.7659999999996</v>
      </c>
      <c r="U16" s="36">
        <f t="shared" si="4"/>
        <v>4290.93</v>
      </c>
    </row>
    <row r="17" spans="1:21" x14ac:dyDescent="0.2">
      <c r="A17" s="84">
        <v>2003</v>
      </c>
      <c r="B17" s="36">
        <v>314.54500000000002</v>
      </c>
      <c r="C17" s="36">
        <v>307.20400000000001</v>
      </c>
      <c r="D17" s="36">
        <v>340.50799999999998</v>
      </c>
      <c r="E17" s="36">
        <v>337.89400000000001</v>
      </c>
      <c r="F17" s="36">
        <v>337.94600000000003</v>
      </c>
      <c r="G17" s="36">
        <v>364.726</v>
      </c>
      <c r="H17" s="36">
        <v>379.77100000000002</v>
      </c>
      <c r="I17" s="36">
        <v>366.37799999999999</v>
      </c>
      <c r="J17" s="36">
        <v>387.90100000000001</v>
      </c>
      <c r="K17" s="36">
        <v>394.54500000000002</v>
      </c>
      <c r="L17" s="36">
        <v>334.98599999999999</v>
      </c>
      <c r="M17" s="36">
        <v>352.67</v>
      </c>
      <c r="N17" s="83"/>
      <c r="O17" s="36">
        <f t="shared" si="0"/>
        <v>962.25700000000006</v>
      </c>
      <c r="P17" s="36">
        <f t="shared" si="6"/>
        <v>1040.566</v>
      </c>
      <c r="Q17" s="36">
        <f t="shared" si="2"/>
        <v>1134.05</v>
      </c>
      <c r="R17" s="36">
        <f t="shared" si="3"/>
        <v>1082.201</v>
      </c>
      <c r="S17" s="83"/>
      <c r="T17" s="36">
        <f t="shared" si="5"/>
        <v>4255.4549999999999</v>
      </c>
      <c r="U17" s="36">
        <f t="shared" si="4"/>
        <v>4219.0740000000005</v>
      </c>
    </row>
    <row r="18" spans="1:21" x14ac:dyDescent="0.2">
      <c r="A18" s="84">
        <v>2004</v>
      </c>
      <c r="B18" s="36">
        <v>358.827</v>
      </c>
      <c r="C18" s="36">
        <v>367.25400000000002</v>
      </c>
      <c r="D18" s="36">
        <v>407.33499999999998</v>
      </c>
      <c r="E18" s="36">
        <v>386.80500000000001</v>
      </c>
      <c r="F18" s="36">
        <v>333.45800000000003</v>
      </c>
      <c r="G18" s="36">
        <v>438.35</v>
      </c>
      <c r="H18" s="36">
        <v>407.94</v>
      </c>
      <c r="I18" s="36">
        <v>433.15800000000002</v>
      </c>
      <c r="J18" s="36">
        <v>391.959</v>
      </c>
      <c r="K18" s="36">
        <v>423.09699999999998</v>
      </c>
      <c r="L18" s="36">
        <v>378.39499999999998</v>
      </c>
      <c r="M18" s="36">
        <v>341.83800000000002</v>
      </c>
      <c r="N18" s="83"/>
      <c r="O18" s="36">
        <f t="shared" si="0"/>
        <v>1133.4159999999999</v>
      </c>
      <c r="P18" s="36">
        <f t="shared" si="6"/>
        <v>1158.6130000000001</v>
      </c>
      <c r="Q18" s="36">
        <f t="shared" si="2"/>
        <v>1233.057</v>
      </c>
      <c r="R18" s="36">
        <f t="shared" si="3"/>
        <v>1143.33</v>
      </c>
      <c r="S18" s="83"/>
      <c r="T18" s="36">
        <f t="shared" si="5"/>
        <v>4607.2870000000003</v>
      </c>
      <c r="U18" s="36">
        <f t="shared" si="4"/>
        <v>4668.4160000000002</v>
      </c>
    </row>
    <row r="19" spans="1:21" x14ac:dyDescent="0.2">
      <c r="A19" s="84">
        <v>2005</v>
      </c>
      <c r="B19" s="36">
        <v>357.77600000000001</v>
      </c>
      <c r="C19" s="36">
        <v>367.61200000000002</v>
      </c>
      <c r="D19" s="36">
        <v>394.512</v>
      </c>
      <c r="E19" s="36">
        <v>387.45699999999999</v>
      </c>
      <c r="F19" s="36">
        <v>369.87400000000002</v>
      </c>
      <c r="G19" s="36">
        <v>415.59300000000002</v>
      </c>
      <c r="H19" s="36">
        <v>384.03699999999998</v>
      </c>
      <c r="I19" s="36">
        <v>414.834</v>
      </c>
      <c r="J19" s="36">
        <v>449.23399999999998</v>
      </c>
      <c r="K19" s="36">
        <v>457.476</v>
      </c>
      <c r="L19" s="36">
        <v>374.50200000000001</v>
      </c>
      <c r="M19" s="36">
        <v>336.77300000000002</v>
      </c>
      <c r="N19" s="83"/>
      <c r="O19" s="36">
        <f t="shared" si="0"/>
        <v>1119.9000000000001</v>
      </c>
      <c r="P19" s="36">
        <f t="shared" si="6"/>
        <v>1172.924</v>
      </c>
      <c r="Q19" s="36">
        <f t="shared" si="2"/>
        <v>1248.105</v>
      </c>
      <c r="R19" s="36">
        <f t="shared" si="3"/>
        <v>1168.7510000000002</v>
      </c>
      <c r="S19" s="83"/>
      <c r="T19" s="36">
        <f t="shared" si="5"/>
        <v>4684.259</v>
      </c>
      <c r="U19" s="36">
        <f t="shared" si="4"/>
        <v>4709.68</v>
      </c>
    </row>
    <row r="20" spans="1:21" x14ac:dyDescent="0.2">
      <c r="A20" s="84">
        <v>2006</v>
      </c>
      <c r="B20" s="36">
        <v>342.19</v>
      </c>
      <c r="C20" s="36">
        <v>305.62299999999999</v>
      </c>
      <c r="D20" s="36">
        <v>357.26300000000003</v>
      </c>
      <c r="E20" s="36">
        <v>323.46300000000002</v>
      </c>
      <c r="F20" s="36">
        <v>362.298</v>
      </c>
      <c r="G20" s="36">
        <v>380.73900000000003</v>
      </c>
      <c r="H20" s="36">
        <v>347.96699999999998</v>
      </c>
      <c r="I20" s="36">
        <v>405.803</v>
      </c>
      <c r="J20" s="36">
        <v>365.75799999999998</v>
      </c>
      <c r="K20" s="36">
        <v>369.26799999999997</v>
      </c>
      <c r="L20" s="36">
        <v>328.59899999999999</v>
      </c>
      <c r="M20" s="36">
        <v>306.20499999999998</v>
      </c>
      <c r="N20" s="83"/>
      <c r="O20" s="36">
        <f t="shared" si="0"/>
        <v>1005.076</v>
      </c>
      <c r="P20" s="36">
        <f t="shared" si="6"/>
        <v>1066.5</v>
      </c>
      <c r="Q20" s="36">
        <f t="shared" si="2"/>
        <v>1119.528</v>
      </c>
      <c r="R20" s="36">
        <f t="shared" si="3"/>
        <v>1004.0719999999999</v>
      </c>
      <c r="S20" s="83"/>
      <c r="T20" s="36">
        <f t="shared" si="5"/>
        <v>4359.8550000000005</v>
      </c>
      <c r="U20" s="36">
        <f t="shared" si="4"/>
        <v>4195.1760000000004</v>
      </c>
    </row>
    <row r="21" spans="1:21" x14ac:dyDescent="0.2">
      <c r="A21" s="84">
        <v>2007</v>
      </c>
      <c r="B21" s="36">
        <v>338.77699999999999</v>
      </c>
      <c r="C21" s="36">
        <v>330.23599999999999</v>
      </c>
      <c r="D21" s="36">
        <v>378.10599999999999</v>
      </c>
      <c r="E21" s="36">
        <v>396.23500000000001</v>
      </c>
      <c r="F21" s="36">
        <v>413.58199999999999</v>
      </c>
      <c r="G21" s="36">
        <v>403.70299999999997</v>
      </c>
      <c r="H21" s="36">
        <v>421.62700000000001</v>
      </c>
      <c r="I21" s="36">
        <v>455.887</v>
      </c>
      <c r="J21" s="36">
        <v>419.64800000000002</v>
      </c>
      <c r="K21" s="36">
        <v>436.26600000000002</v>
      </c>
      <c r="L21" s="36">
        <v>402.41899999999998</v>
      </c>
      <c r="M21" s="36">
        <v>310.78100000000001</v>
      </c>
      <c r="N21" s="83"/>
      <c r="O21" s="36">
        <f t="shared" si="0"/>
        <v>1047.1189999999999</v>
      </c>
      <c r="P21" s="36">
        <f t="shared" si="6"/>
        <v>1213.52</v>
      </c>
      <c r="Q21" s="36">
        <f t="shared" si="2"/>
        <v>1297.162</v>
      </c>
      <c r="R21" s="36">
        <f t="shared" si="3"/>
        <v>1149.4659999999999</v>
      </c>
      <c r="S21" s="83"/>
      <c r="T21" s="36">
        <f t="shared" si="5"/>
        <v>4561.8729999999996</v>
      </c>
      <c r="U21" s="36">
        <f t="shared" si="4"/>
        <v>4707.2669999999998</v>
      </c>
    </row>
    <row r="22" spans="1:21" x14ac:dyDescent="0.2">
      <c r="A22" s="84">
        <v>2008</v>
      </c>
      <c r="B22" s="36">
        <v>364.87</v>
      </c>
      <c r="C22" s="36">
        <v>401.02</v>
      </c>
      <c r="D22" s="36">
        <v>401.565</v>
      </c>
      <c r="E22" s="36">
        <v>404.95</v>
      </c>
      <c r="F22" s="36">
        <v>421.61</v>
      </c>
      <c r="G22" s="36">
        <v>453.048</v>
      </c>
      <c r="H22" s="36">
        <v>438.24599999999998</v>
      </c>
      <c r="I22" s="36">
        <v>423.584</v>
      </c>
      <c r="J22" s="36">
        <v>435.858</v>
      </c>
      <c r="K22" s="36">
        <v>436.73099999999999</v>
      </c>
      <c r="L22" s="36">
        <v>352.09300000000002</v>
      </c>
      <c r="M22" s="36">
        <v>333.31599999999997</v>
      </c>
      <c r="N22" s="83"/>
      <c r="O22" s="36">
        <f t="shared" si="0"/>
        <v>1167.4549999999999</v>
      </c>
      <c r="P22" s="36">
        <f t="shared" si="6"/>
        <v>1279.6079999999999</v>
      </c>
      <c r="Q22" s="36">
        <f t="shared" si="2"/>
        <v>1297.6879999999999</v>
      </c>
      <c r="R22" s="36">
        <f t="shared" si="3"/>
        <v>1122.1400000000001</v>
      </c>
      <c r="S22" s="83"/>
      <c r="T22" s="36">
        <f t="shared" si="5"/>
        <v>4894.2169999999996</v>
      </c>
      <c r="U22" s="36">
        <f t="shared" si="4"/>
        <v>4866.8910000000005</v>
      </c>
    </row>
    <row r="23" spans="1:21" x14ac:dyDescent="0.2">
      <c r="A23" s="76">
        <v>2009</v>
      </c>
      <c r="B23" s="36">
        <v>315.59100000000001</v>
      </c>
      <c r="C23" s="36">
        <v>282.45499999999998</v>
      </c>
      <c r="D23" s="36">
        <v>344.41800000000001</v>
      </c>
      <c r="E23" s="36">
        <v>321.86099999999999</v>
      </c>
      <c r="F23" s="36">
        <v>331.565</v>
      </c>
      <c r="G23" s="36">
        <v>379.07499999999999</v>
      </c>
      <c r="H23" s="36">
        <v>363.863</v>
      </c>
      <c r="I23" s="36">
        <v>404.03399999999999</v>
      </c>
      <c r="J23" s="36">
        <v>437.95800000000003</v>
      </c>
      <c r="K23" s="36">
        <v>419.27300000000002</v>
      </c>
      <c r="L23" s="36">
        <v>387.84199999999998</v>
      </c>
      <c r="M23" s="36">
        <v>336.39499999999998</v>
      </c>
      <c r="N23" s="83"/>
      <c r="O23" s="36">
        <f t="shared" si="0"/>
        <v>942.46400000000006</v>
      </c>
      <c r="P23" s="36">
        <f t="shared" si="6"/>
        <v>1032.501</v>
      </c>
      <c r="Q23" s="36">
        <f t="shared" si="2"/>
        <v>1205.855</v>
      </c>
      <c r="R23" s="36">
        <f t="shared" si="3"/>
        <v>1143.51</v>
      </c>
      <c r="S23" s="83"/>
      <c r="T23" s="36">
        <f t="shared" si="5"/>
        <v>4302.9600000000009</v>
      </c>
      <c r="U23" s="36">
        <f t="shared" si="4"/>
        <v>4324.33</v>
      </c>
    </row>
    <row r="24" spans="1:21" x14ac:dyDescent="0.2">
      <c r="A24" s="76">
        <v>2010</v>
      </c>
      <c r="B24" s="36">
        <v>338.29199999999997</v>
      </c>
      <c r="C24" s="36">
        <v>350.52600000000001</v>
      </c>
      <c r="D24" s="36">
        <v>426.01299999999998</v>
      </c>
      <c r="E24" s="36">
        <v>368.44099999999997</v>
      </c>
      <c r="F24" s="36">
        <v>380.18299999999999</v>
      </c>
      <c r="G24" s="36">
        <v>369.05799999999999</v>
      </c>
      <c r="H24" s="36">
        <v>348.55799999999999</v>
      </c>
      <c r="I24" s="36">
        <v>361.286</v>
      </c>
      <c r="J24" s="36">
        <v>379.7</v>
      </c>
      <c r="K24" s="36">
        <v>424.83499999999998</v>
      </c>
      <c r="L24" s="36">
        <v>399.48200000000003</v>
      </c>
      <c r="M24" s="36">
        <v>367.87700000000001</v>
      </c>
      <c r="N24" s="83"/>
      <c r="O24" s="36">
        <f t="shared" si="0"/>
        <v>1114.8309999999999</v>
      </c>
      <c r="P24" s="36">
        <f t="shared" si="6"/>
        <v>1117.682</v>
      </c>
      <c r="Q24" s="36">
        <f t="shared" si="2"/>
        <v>1089.5440000000001</v>
      </c>
      <c r="R24" s="36">
        <f t="shared" si="3"/>
        <v>1192.194</v>
      </c>
      <c r="S24" s="83"/>
      <c r="T24" s="36">
        <f t="shared" si="5"/>
        <v>4465.567</v>
      </c>
      <c r="U24" s="36">
        <f t="shared" si="4"/>
        <v>4514.2510000000002</v>
      </c>
    </row>
    <row r="25" spans="1:21" x14ac:dyDescent="0.2">
      <c r="A25" s="76">
        <v>2011</v>
      </c>
      <c r="B25" s="36">
        <v>369.63499999999999</v>
      </c>
      <c r="C25" s="36">
        <v>356.20699999999999</v>
      </c>
      <c r="D25" s="36">
        <v>403.61</v>
      </c>
      <c r="E25" s="36">
        <v>378.19299999999998</v>
      </c>
      <c r="F25" s="36">
        <v>388.46699999999998</v>
      </c>
      <c r="G25" s="36">
        <v>418.80799999999999</v>
      </c>
      <c r="H25" s="36">
        <v>368.35399999999998</v>
      </c>
      <c r="I25" s="36">
        <v>424.59500000000003</v>
      </c>
      <c r="J25" s="36">
        <v>381.03100000000001</v>
      </c>
      <c r="K25" s="36">
        <v>381.15300000000002</v>
      </c>
      <c r="L25" s="36">
        <v>361.34500000000003</v>
      </c>
      <c r="M25" s="36">
        <v>320.53500000000003</v>
      </c>
      <c r="N25" s="83"/>
      <c r="O25" s="36">
        <f t="shared" si="0"/>
        <v>1129.452</v>
      </c>
      <c r="P25" s="36">
        <f t="shared" si="6"/>
        <v>1185.4679999999998</v>
      </c>
      <c r="Q25" s="36">
        <f t="shared" si="2"/>
        <v>1173.98</v>
      </c>
      <c r="R25" s="36">
        <f t="shared" si="3"/>
        <v>1063.0330000000001</v>
      </c>
      <c r="S25" s="83"/>
      <c r="T25" s="36">
        <f t="shared" si="5"/>
        <v>4681.0939999999991</v>
      </c>
      <c r="U25" s="36">
        <f t="shared" si="4"/>
        <v>4551.933</v>
      </c>
    </row>
    <row r="26" spans="1:21" x14ac:dyDescent="0.2">
      <c r="A26" s="76">
        <v>2012</v>
      </c>
      <c r="B26" s="36">
        <v>351.81299999999999</v>
      </c>
      <c r="C26" s="36">
        <v>365.10599999999999</v>
      </c>
      <c r="D26" s="36">
        <v>397.53800000000001</v>
      </c>
      <c r="E26" s="36">
        <v>356.49099999999999</v>
      </c>
      <c r="F26" s="36">
        <v>405.42099999999999</v>
      </c>
      <c r="G26" s="36">
        <v>396.97399999999999</v>
      </c>
      <c r="H26" s="36">
        <v>406.02600000000001</v>
      </c>
      <c r="I26" s="36">
        <v>401.31599999999997</v>
      </c>
      <c r="J26" s="36">
        <v>400.75</v>
      </c>
      <c r="K26" s="36">
        <v>451.42200000000003</v>
      </c>
      <c r="L26" s="36">
        <v>385.21800000000002</v>
      </c>
      <c r="M26" s="36">
        <v>315.05500000000001</v>
      </c>
      <c r="N26" s="83"/>
      <c r="O26" s="36">
        <f t="shared" si="0"/>
        <v>1114.4569999999999</v>
      </c>
      <c r="P26" s="36">
        <f t="shared" si="6"/>
        <v>1158.886</v>
      </c>
      <c r="Q26" s="36">
        <f t="shared" si="2"/>
        <v>1208.0920000000001</v>
      </c>
      <c r="R26" s="36">
        <f t="shared" si="3"/>
        <v>1151.6950000000002</v>
      </c>
      <c r="S26" s="83"/>
      <c r="T26" s="36">
        <f t="shared" si="5"/>
        <v>4544.4679999999998</v>
      </c>
      <c r="U26" s="36">
        <f t="shared" si="4"/>
        <v>4633.13</v>
      </c>
    </row>
    <row r="27" spans="1:21" x14ac:dyDescent="0.2">
      <c r="A27" s="76">
        <v>2013</v>
      </c>
      <c r="B27" s="36">
        <v>383.59</v>
      </c>
      <c r="C27" s="36">
        <v>368.67599999999999</v>
      </c>
      <c r="D27" s="36">
        <v>398.46100000000001</v>
      </c>
      <c r="E27" s="36">
        <v>413.20100000000002</v>
      </c>
      <c r="F27" s="36">
        <v>406.00799999999998</v>
      </c>
      <c r="G27" s="36">
        <v>402.108</v>
      </c>
      <c r="H27" s="36">
        <v>406.108</v>
      </c>
      <c r="I27" s="36">
        <v>453.41500000000002</v>
      </c>
      <c r="J27" s="36">
        <v>417.745</v>
      </c>
      <c r="K27" s="36">
        <v>428.87299999999999</v>
      </c>
      <c r="L27" s="36">
        <v>384.23500000000001</v>
      </c>
      <c r="M27" s="36">
        <v>314.767</v>
      </c>
      <c r="N27" s="83"/>
      <c r="O27" s="36">
        <f t="shared" si="0"/>
        <v>1150.7269999999999</v>
      </c>
      <c r="P27" s="36">
        <f t="shared" si="6"/>
        <v>1221.317</v>
      </c>
      <c r="Q27" s="36">
        <f t="shared" si="2"/>
        <v>1277.268</v>
      </c>
      <c r="R27" s="36">
        <f t="shared" si="3"/>
        <v>1127.875</v>
      </c>
      <c r="S27" s="83"/>
      <c r="T27" s="36">
        <f t="shared" si="5"/>
        <v>4801.0069999999996</v>
      </c>
      <c r="U27" s="36">
        <f t="shared" si="4"/>
        <v>4777.1869999999999</v>
      </c>
    </row>
    <row r="28" spans="1:21" x14ac:dyDescent="0.2">
      <c r="A28" s="76">
        <v>2014</v>
      </c>
      <c r="B28" s="36">
        <v>350.56</v>
      </c>
      <c r="C28" s="36">
        <v>367.43</v>
      </c>
      <c r="D28" s="36">
        <v>412.98</v>
      </c>
      <c r="E28" s="36">
        <v>398.53300000000002</v>
      </c>
      <c r="F28" s="36">
        <v>436.97699999999998</v>
      </c>
      <c r="G28" s="36">
        <v>423.59</v>
      </c>
      <c r="H28" s="36">
        <v>429.899</v>
      </c>
      <c r="I28" s="36">
        <v>418.49700000000001</v>
      </c>
      <c r="J28" s="36">
        <v>436.15699999999998</v>
      </c>
      <c r="K28" s="36">
        <v>463.01499999999999</v>
      </c>
      <c r="L28" s="36">
        <v>392.94099999999997</v>
      </c>
      <c r="M28" s="36">
        <v>344.327</v>
      </c>
      <c r="N28" s="83"/>
      <c r="O28" s="36">
        <f t="shared" si="0"/>
        <v>1130.97</v>
      </c>
      <c r="P28" s="36">
        <f t="shared" si="6"/>
        <v>1259.0999999999999</v>
      </c>
      <c r="Q28" s="36">
        <f t="shared" si="2"/>
        <v>1284.5529999999999</v>
      </c>
      <c r="R28" s="36">
        <f t="shared" si="3"/>
        <v>1200.2829999999999</v>
      </c>
      <c r="S28" s="83"/>
      <c r="T28" s="36">
        <f t="shared" si="5"/>
        <v>4802.4979999999996</v>
      </c>
      <c r="U28" s="36">
        <f t="shared" si="4"/>
        <v>4874.905999999999</v>
      </c>
    </row>
    <row r="29" spans="1:21" x14ac:dyDescent="0.2">
      <c r="A29" s="76">
        <v>2015</v>
      </c>
      <c r="B29" s="36">
        <v>368.262</v>
      </c>
      <c r="C29" s="36">
        <v>368.37799999999999</v>
      </c>
      <c r="D29" s="36">
        <v>415.20699999999999</v>
      </c>
      <c r="E29" s="36">
        <v>392.09399999999999</v>
      </c>
      <c r="F29" s="36">
        <v>376.274</v>
      </c>
      <c r="G29" s="36">
        <v>439.17</v>
      </c>
      <c r="H29" s="36">
        <v>383.887</v>
      </c>
      <c r="I29" s="36">
        <v>388.697</v>
      </c>
      <c r="J29" s="36">
        <v>398.17399999999998</v>
      </c>
      <c r="K29" s="36">
        <v>376.24299999999999</v>
      </c>
      <c r="L29" s="36">
        <v>354.72300000000001</v>
      </c>
      <c r="M29" s="36">
        <v>352.59100000000001</v>
      </c>
      <c r="N29" s="83"/>
      <c r="O29" s="36">
        <f t="shared" si="0"/>
        <v>1151.847</v>
      </c>
      <c r="P29" s="36">
        <f t="shared" si="6"/>
        <v>1207.538</v>
      </c>
      <c r="Q29" s="36">
        <f t="shared" si="2"/>
        <v>1170.758</v>
      </c>
      <c r="R29" s="36">
        <f t="shared" si="3"/>
        <v>1083.557</v>
      </c>
      <c r="S29" s="83"/>
      <c r="T29" s="36">
        <f t="shared" si="5"/>
        <v>4730.4260000000004</v>
      </c>
      <c r="U29" s="36">
        <f t="shared" si="4"/>
        <v>4613.7</v>
      </c>
    </row>
    <row r="30" spans="1:21" x14ac:dyDescent="0.2">
      <c r="A30" s="76">
        <v>2016</v>
      </c>
      <c r="B30" s="36">
        <v>350.73899999999998</v>
      </c>
      <c r="C30" s="36">
        <v>362.34399999999999</v>
      </c>
      <c r="D30" s="36">
        <v>382.85899999999998</v>
      </c>
      <c r="E30" s="36">
        <v>368.49099999999999</v>
      </c>
      <c r="F30" s="36">
        <v>404.65600000000001</v>
      </c>
      <c r="G30" s="36">
        <v>419.25299999999999</v>
      </c>
      <c r="H30" s="36">
        <v>380.916</v>
      </c>
      <c r="I30" s="36">
        <v>436.17099999999999</v>
      </c>
      <c r="J30" s="36">
        <v>408.60199999999998</v>
      </c>
      <c r="K30" s="36">
        <v>456.238</v>
      </c>
      <c r="L30" s="36">
        <v>430.12400000000002</v>
      </c>
      <c r="M30" s="36">
        <v>408.96100000000001</v>
      </c>
      <c r="N30" s="83"/>
      <c r="O30" s="36">
        <f t="shared" si="0"/>
        <v>1095.942</v>
      </c>
      <c r="P30" s="36">
        <f t="shared" si="6"/>
        <v>1192.3999999999999</v>
      </c>
      <c r="Q30" s="36">
        <f t="shared" si="2"/>
        <v>1225.6889999999999</v>
      </c>
      <c r="R30" s="36">
        <f t="shared" si="3"/>
        <v>1295.3230000000001</v>
      </c>
      <c r="S30" s="83"/>
      <c r="T30" s="36">
        <f t="shared" si="5"/>
        <v>4597.5879999999997</v>
      </c>
      <c r="U30" s="36">
        <f t="shared" si="4"/>
        <v>4809.3539999999994</v>
      </c>
    </row>
    <row r="31" spans="1:21" x14ac:dyDescent="0.2">
      <c r="A31" s="76">
        <v>2017</v>
      </c>
      <c r="B31" s="36">
        <v>428.65199999999999</v>
      </c>
      <c r="C31" s="36">
        <v>397.22</v>
      </c>
      <c r="D31" s="36">
        <v>478.90100000000001</v>
      </c>
      <c r="E31" s="36">
        <v>431.88099999999997</v>
      </c>
      <c r="F31" s="36">
        <v>486.99599999999998</v>
      </c>
      <c r="G31" s="36">
        <v>443.39600000000002</v>
      </c>
      <c r="H31" s="36">
        <v>447.68200000000002</v>
      </c>
      <c r="I31" s="36">
        <v>500.99099999999999</v>
      </c>
      <c r="J31" s="36">
        <v>437.06900000000002</v>
      </c>
      <c r="K31" s="36">
        <v>517.84299999999996</v>
      </c>
      <c r="L31" s="36">
        <v>470.786</v>
      </c>
      <c r="M31" s="36">
        <v>383.42700000000002</v>
      </c>
      <c r="N31" s="83"/>
      <c r="O31" s="36">
        <f t="shared" si="0"/>
        <v>1304.7730000000001</v>
      </c>
      <c r="P31" s="36">
        <f t="shared" si="6"/>
        <v>1362.2729999999999</v>
      </c>
      <c r="Q31" s="36">
        <f t="shared" si="2"/>
        <v>1385.742</v>
      </c>
      <c r="R31" s="36">
        <f t="shared" si="3"/>
        <v>1372.056</v>
      </c>
      <c r="S31" s="83"/>
      <c r="T31" s="36">
        <f t="shared" si="5"/>
        <v>5348.1110000000008</v>
      </c>
      <c r="U31" s="36">
        <f t="shared" si="4"/>
        <v>5424.844000000001</v>
      </c>
    </row>
    <row r="32" spans="1:21" x14ac:dyDescent="0.2">
      <c r="A32" s="76">
        <v>2018</v>
      </c>
      <c r="B32" s="36">
        <v>411.79399999999998</v>
      </c>
      <c r="C32" s="36">
        <v>411.53</v>
      </c>
      <c r="D32" s="36">
        <v>449.553</v>
      </c>
      <c r="E32" s="36">
        <v>415.30599999999998</v>
      </c>
      <c r="F32" s="36">
        <v>427.15899999999999</v>
      </c>
      <c r="G32" s="36">
        <v>421.70499999999998</v>
      </c>
      <c r="H32" s="36">
        <v>455.32299999999998</v>
      </c>
      <c r="I32" s="36">
        <v>482.72800000000001</v>
      </c>
      <c r="J32" s="36">
        <v>423.80599999999998</v>
      </c>
      <c r="K32" s="36">
        <v>473.26499999999999</v>
      </c>
      <c r="L32" s="36">
        <v>412.83600000000001</v>
      </c>
      <c r="M32" s="36">
        <v>335.54399999999998</v>
      </c>
      <c r="N32" s="83"/>
      <c r="O32" s="36">
        <f t="shared" si="0"/>
        <v>1272.877</v>
      </c>
      <c r="P32" s="36">
        <f t="shared" si="6"/>
        <v>1264.1699999999998</v>
      </c>
      <c r="Q32" s="36">
        <f t="shared" si="2"/>
        <v>1361.857</v>
      </c>
      <c r="R32" s="36">
        <f t="shared" si="3"/>
        <v>1221.645</v>
      </c>
      <c r="S32" s="83"/>
      <c r="T32" s="36">
        <f t="shared" si="5"/>
        <v>5270.96</v>
      </c>
      <c r="U32" s="36">
        <f t="shared" si="4"/>
        <v>5120.5489999999991</v>
      </c>
    </row>
    <row r="33" spans="1:21" x14ac:dyDescent="0.2">
      <c r="A33" s="76">
        <v>2019</v>
      </c>
      <c r="B33" s="36">
        <v>401.60700000000003</v>
      </c>
      <c r="C33" s="36">
        <v>381.78800000000001</v>
      </c>
      <c r="D33" s="36">
        <v>449.5</v>
      </c>
      <c r="E33" s="36">
        <v>431.63600000000002</v>
      </c>
      <c r="F33" s="36">
        <v>434.26799999999997</v>
      </c>
      <c r="G33" s="36">
        <v>417.709</v>
      </c>
      <c r="H33" s="36">
        <v>434.78199999999998</v>
      </c>
      <c r="I33" s="89">
        <v>438.827</v>
      </c>
      <c r="J33" s="99">
        <v>432.50200000000001</v>
      </c>
      <c r="K33" s="36">
        <v>501.00200000000001</v>
      </c>
      <c r="L33" s="36">
        <v>402.65699999999998</v>
      </c>
      <c r="M33" s="36">
        <v>373.08800000000002</v>
      </c>
      <c r="N33" s="83"/>
      <c r="O33" s="36">
        <f t="shared" si="0"/>
        <v>1232.895</v>
      </c>
      <c r="P33" s="36">
        <f t="shared" si="6"/>
        <v>1283.6130000000001</v>
      </c>
      <c r="Q33" s="36">
        <f t="shared" si="2"/>
        <v>1306.1109999999999</v>
      </c>
      <c r="R33" s="36">
        <f t="shared" si="3"/>
        <v>1276.7470000000001</v>
      </c>
      <c r="S33" s="83"/>
      <c r="T33" s="36">
        <f t="shared" si="5"/>
        <v>5044.2640000000001</v>
      </c>
      <c r="U33" s="36">
        <f t="shared" si="4"/>
        <v>5099.366</v>
      </c>
    </row>
    <row r="34" spans="1:21" x14ac:dyDescent="0.2">
      <c r="A34" s="76">
        <v>2020</v>
      </c>
      <c r="B34" s="36">
        <v>377.15899999999999</v>
      </c>
      <c r="C34" s="36">
        <v>339.54700000000003</v>
      </c>
      <c r="D34" s="36">
        <v>388.78800000000001</v>
      </c>
      <c r="E34" s="36">
        <v>313.495</v>
      </c>
      <c r="F34" s="36">
        <v>277.35399999999998</v>
      </c>
      <c r="G34" s="36">
        <v>340.57</v>
      </c>
      <c r="H34" s="36">
        <v>348.28899999999999</v>
      </c>
      <c r="I34" s="36">
        <v>330.31700000000001</v>
      </c>
      <c r="J34" s="36">
        <v>429.714</v>
      </c>
      <c r="K34" s="36">
        <v>462.27800000000002</v>
      </c>
      <c r="L34" s="36">
        <v>409.06200000000001</v>
      </c>
      <c r="M34" s="36">
        <v>370.654</v>
      </c>
      <c r="N34" s="83"/>
      <c r="O34" s="36">
        <f t="shared" si="0"/>
        <v>1105.4940000000001</v>
      </c>
      <c r="P34" s="36">
        <f t="shared" si="6"/>
        <v>931.41899999999987</v>
      </c>
      <c r="Q34" s="36">
        <f t="shared" si="2"/>
        <v>1108.32</v>
      </c>
      <c r="R34" s="36">
        <f t="shared" si="3"/>
        <v>1241.9940000000001</v>
      </c>
      <c r="S34" s="83"/>
      <c r="T34" s="36">
        <f>R33+O34+P34+Q34</f>
        <v>4421.9799999999996</v>
      </c>
      <c r="U34" s="36">
        <f t="shared" si="4"/>
        <v>4387.2270000000008</v>
      </c>
    </row>
    <row r="35" spans="1:21" x14ac:dyDescent="0.2">
      <c r="A35" s="76">
        <v>2021</v>
      </c>
      <c r="B35" s="36">
        <v>375.78399999999999</v>
      </c>
      <c r="C35" s="36">
        <v>360.97699999999998</v>
      </c>
      <c r="D35" s="36">
        <v>445.5</v>
      </c>
      <c r="E35" s="36">
        <v>412.02699999999999</v>
      </c>
      <c r="F35" s="36">
        <v>401.39699999999999</v>
      </c>
      <c r="G35" s="36">
        <v>436.61700000000002</v>
      </c>
      <c r="H35" s="36">
        <v>404.93099999999998</v>
      </c>
      <c r="I35" s="36">
        <v>434.637</v>
      </c>
      <c r="J35" s="36">
        <v>451.79899999999998</v>
      </c>
      <c r="K35" s="38">
        <v>480.69900000000001</v>
      </c>
      <c r="L35" s="38">
        <v>455.81299999999999</v>
      </c>
      <c r="M35" s="38">
        <v>382.43700000000001</v>
      </c>
      <c r="N35" s="83"/>
      <c r="O35" s="36">
        <f t="shared" si="0"/>
        <v>1182.261</v>
      </c>
      <c r="P35" s="36">
        <f t="shared" si="6"/>
        <v>1250.0409999999999</v>
      </c>
      <c r="Q35" s="36">
        <f t="shared" si="2"/>
        <v>1291.367</v>
      </c>
      <c r="R35" s="36">
        <f t="shared" si="3"/>
        <v>1318.9490000000001</v>
      </c>
      <c r="S35" s="83"/>
      <c r="T35" s="36">
        <f>R34+O35+P35+Q35</f>
        <v>4965.6630000000005</v>
      </c>
      <c r="U35" s="36">
        <f t="shared" si="4"/>
        <v>5042.6180000000004</v>
      </c>
    </row>
    <row r="36" spans="1:21" x14ac:dyDescent="0.2">
      <c r="A36" s="76">
        <v>2022</v>
      </c>
      <c r="B36" s="36">
        <v>419.58699999999999</v>
      </c>
      <c r="C36" s="38">
        <v>405.024</v>
      </c>
      <c r="D36" s="38">
        <v>511.755</v>
      </c>
      <c r="E36" s="38">
        <v>453.09199999999998</v>
      </c>
      <c r="F36" s="38">
        <v>456.54500000000002</v>
      </c>
      <c r="G36" s="38">
        <v>432.49099999999999</v>
      </c>
      <c r="H36" s="38">
        <v>434.86500000000001</v>
      </c>
      <c r="I36" s="38">
        <v>456.512</v>
      </c>
      <c r="J36" s="38">
        <v>437.52300000000002</v>
      </c>
      <c r="K36" s="38">
        <v>486.95699999999999</v>
      </c>
      <c r="L36" s="38">
        <v>428.94</v>
      </c>
      <c r="M36" s="38">
        <v>363.10599999999999</v>
      </c>
      <c r="N36" s="83"/>
      <c r="O36" s="36">
        <f t="shared" si="0"/>
        <v>1336.366</v>
      </c>
      <c r="P36" s="36">
        <f t="shared" si="6"/>
        <v>1342.1279999999999</v>
      </c>
      <c r="Q36" s="36">
        <f t="shared" si="2"/>
        <v>1328.9</v>
      </c>
      <c r="R36" s="36">
        <f t="shared" si="3"/>
        <v>1279.0029999999999</v>
      </c>
      <c r="S36" s="83"/>
      <c r="T36" s="36">
        <f>R35+O36+P36+Q36</f>
        <v>5326.3430000000008</v>
      </c>
      <c r="U36" s="36">
        <f t="shared" si="4"/>
        <v>5286.3969999999999</v>
      </c>
    </row>
    <row r="37" spans="1:21" x14ac:dyDescent="0.2">
      <c r="A37" s="76">
        <v>2023</v>
      </c>
      <c r="B37" s="36">
        <v>401.53699999999998</v>
      </c>
      <c r="C37" s="38">
        <v>392.15699999999998</v>
      </c>
      <c r="D37" s="38">
        <v>437.69499999999999</v>
      </c>
      <c r="E37" s="38">
        <v>355.62900000000002</v>
      </c>
      <c r="F37" s="38">
        <v>414.35899999999998</v>
      </c>
      <c r="G37" s="38">
        <v>445.81099999999998</v>
      </c>
      <c r="H37" s="38">
        <v>405.42700000000002</v>
      </c>
      <c r="I37" s="38">
        <v>463.041</v>
      </c>
      <c r="J37" s="38">
        <v>432.43599999999998</v>
      </c>
      <c r="K37" s="38">
        <v>459.64100000000002</v>
      </c>
      <c r="L37" s="38">
        <v>409.81200000000001</v>
      </c>
      <c r="M37" s="38">
        <v>350.04700000000003</v>
      </c>
      <c r="N37" s="83"/>
      <c r="O37" s="36">
        <f t="shared" si="0"/>
        <v>1231.3889999999999</v>
      </c>
      <c r="P37" s="36">
        <f t="shared" si="6"/>
        <v>1215.799</v>
      </c>
      <c r="Q37" s="36">
        <f t="shared" si="2"/>
        <v>1300.904</v>
      </c>
      <c r="R37" s="36">
        <f t="shared" ref="R37" si="7">SUM(K37:M37)</f>
        <v>1219.5</v>
      </c>
      <c r="S37" s="83"/>
      <c r="T37" s="36">
        <f>R36+O37+P37+Q37</f>
        <v>5027.0949999999993</v>
      </c>
      <c r="U37" s="36">
        <f t="shared" ref="U37" si="8">SUM(O37:R37)</f>
        <v>4967.5920000000006</v>
      </c>
    </row>
    <row r="38" spans="1:21" x14ac:dyDescent="0.2">
      <c r="A38" s="76">
        <v>2024</v>
      </c>
      <c r="B38" s="36">
        <v>372.38099999999997</v>
      </c>
      <c r="C38" s="38">
        <v>398.17899999999997</v>
      </c>
      <c r="D38" s="38">
        <v>393.02499999999998</v>
      </c>
      <c r="E38" s="38">
        <v>393.48700000000002</v>
      </c>
      <c r="F38" s="38">
        <v>407.27</v>
      </c>
      <c r="G38" s="38">
        <v>403.32</v>
      </c>
      <c r="H38" s="38">
        <v>395.34300000000002</v>
      </c>
      <c r="I38" s="38">
        <v>430.43400000000003</v>
      </c>
      <c r="J38" s="38">
        <v>442.79700000000003</v>
      </c>
      <c r="K38" s="38">
        <v>467.846</v>
      </c>
      <c r="L38" s="38">
        <v>382.56299999999999</v>
      </c>
      <c r="M38" s="38" t="s">
        <v>152</v>
      </c>
      <c r="N38" s="83"/>
      <c r="O38" s="36">
        <f t="shared" si="0"/>
        <v>1163.585</v>
      </c>
      <c r="P38" s="36">
        <f t="shared" si="6"/>
        <v>1204.077</v>
      </c>
      <c r="Q38" s="36">
        <f t="shared" si="2"/>
        <v>1268.5740000000001</v>
      </c>
      <c r="R38" s="38" t="s">
        <v>152</v>
      </c>
      <c r="S38" s="83"/>
      <c r="T38" s="36">
        <f>R37+O38+P38+Q38</f>
        <v>4855.7360000000008</v>
      </c>
      <c r="U38" s="38" t="s">
        <v>152</v>
      </c>
    </row>
    <row r="39" spans="1:21" x14ac:dyDescent="0.2">
      <c r="A39" s="36" t="s">
        <v>352</v>
      </c>
      <c r="B39" s="37"/>
      <c r="C39" s="37"/>
      <c r="D39" s="37"/>
      <c r="E39" s="37"/>
      <c r="F39" s="37"/>
      <c r="G39" s="37"/>
      <c r="H39" s="37"/>
      <c r="I39" s="87"/>
      <c r="J39" s="37"/>
      <c r="K39" s="37"/>
      <c r="L39" s="37"/>
      <c r="M39" s="37"/>
      <c r="N39" s="83"/>
      <c r="O39" s="88"/>
      <c r="P39" s="88"/>
      <c r="Q39" s="88"/>
      <c r="R39" s="88"/>
      <c r="S39" s="83"/>
      <c r="T39" s="36"/>
      <c r="U39" s="36"/>
    </row>
    <row r="40" spans="1:21" x14ac:dyDescent="0.2">
      <c r="A40" s="76">
        <v>1992</v>
      </c>
      <c r="B40" s="36">
        <v>323.5</v>
      </c>
      <c r="C40" s="36">
        <v>338.995</v>
      </c>
      <c r="D40" s="36">
        <v>406.33600000000001</v>
      </c>
      <c r="E40" s="36">
        <v>405.53300000000002</v>
      </c>
      <c r="F40" s="36">
        <v>375.47699999999998</v>
      </c>
      <c r="G40" s="36">
        <v>455.27800000000002</v>
      </c>
      <c r="H40" s="36">
        <v>416.68400000000003</v>
      </c>
      <c r="I40" s="36">
        <v>418.78100000000001</v>
      </c>
      <c r="J40" s="36">
        <v>467.79899999999998</v>
      </c>
      <c r="K40" s="36">
        <v>479.35899999999998</v>
      </c>
      <c r="L40" s="36">
        <v>371.26600000000002</v>
      </c>
      <c r="M40" s="36">
        <v>348.87700000000001</v>
      </c>
      <c r="N40" s="83"/>
      <c r="O40" s="36">
        <f t="shared" ref="O40:O72" si="9">SUM(B40:D40)</f>
        <v>1068.8310000000001</v>
      </c>
      <c r="P40" s="36">
        <f t="shared" ref="P40:P49" si="10">SUM(E40:G40)</f>
        <v>1236.288</v>
      </c>
      <c r="Q40" s="36">
        <f t="shared" ref="Q40:Q68" si="11">SUM(H40:J40)</f>
        <v>1303.2640000000001</v>
      </c>
      <c r="R40" s="36">
        <f t="shared" ref="R40:R70" si="12">SUM(K40:M40)</f>
        <v>1199.502</v>
      </c>
      <c r="S40" s="83"/>
      <c r="T40" s="36">
        <v>4820.0640000000003</v>
      </c>
      <c r="U40" s="36">
        <f t="shared" ref="U40:U70" si="13">SUM(O40:R40)</f>
        <v>4807.8850000000002</v>
      </c>
    </row>
    <row r="41" spans="1:21" x14ac:dyDescent="0.2">
      <c r="A41" s="76">
        <v>1993</v>
      </c>
      <c r="B41" s="36">
        <v>311.41800000000001</v>
      </c>
      <c r="C41" s="36">
        <v>339.084</v>
      </c>
      <c r="D41" s="36">
        <v>391.03300000000002</v>
      </c>
      <c r="E41" s="36">
        <v>386.64800000000002</v>
      </c>
      <c r="F41" s="36">
        <v>351.21</v>
      </c>
      <c r="G41" s="36">
        <v>423.25099999999998</v>
      </c>
      <c r="H41" s="36">
        <v>422.29500000000002</v>
      </c>
      <c r="I41" s="36">
        <v>440.77100000000002</v>
      </c>
      <c r="J41" s="36">
        <v>468.74299999999999</v>
      </c>
      <c r="K41" s="36">
        <v>427.35899999999998</v>
      </c>
      <c r="L41" s="36">
        <v>424.27</v>
      </c>
      <c r="M41" s="36">
        <v>394.62799999999999</v>
      </c>
      <c r="N41" s="83"/>
      <c r="O41" s="36">
        <f t="shared" si="9"/>
        <v>1041.5349999999999</v>
      </c>
      <c r="P41" s="36">
        <f t="shared" si="10"/>
        <v>1161.1089999999999</v>
      </c>
      <c r="Q41" s="36">
        <f t="shared" si="11"/>
        <v>1331.809</v>
      </c>
      <c r="R41" s="36">
        <f t="shared" si="12"/>
        <v>1246.2569999999998</v>
      </c>
      <c r="S41" s="83"/>
      <c r="T41" s="36">
        <f t="shared" ref="T41:T68" si="14">R40+O41+P41+Q41</f>
        <v>4733.9549999999999</v>
      </c>
      <c r="U41" s="36">
        <f t="shared" si="13"/>
        <v>4780.7099999999991</v>
      </c>
    </row>
    <row r="42" spans="1:21" x14ac:dyDescent="0.2">
      <c r="A42" s="76">
        <v>1994</v>
      </c>
      <c r="B42" s="36">
        <v>332.072</v>
      </c>
      <c r="C42" s="36">
        <v>357.64400000000001</v>
      </c>
      <c r="D42" s="36">
        <v>422.07799999999997</v>
      </c>
      <c r="E42" s="36">
        <v>361.09399999999999</v>
      </c>
      <c r="F42" s="36">
        <v>400.358</v>
      </c>
      <c r="G42" s="36">
        <v>447.62700000000001</v>
      </c>
      <c r="H42" s="36">
        <v>410.51100000000002</v>
      </c>
      <c r="I42" s="36">
        <v>426.71</v>
      </c>
      <c r="J42" s="36">
        <v>473.01900000000001</v>
      </c>
      <c r="K42" s="36">
        <v>443.077</v>
      </c>
      <c r="L42" s="36">
        <v>434.315</v>
      </c>
      <c r="M42" s="36">
        <v>420.25799999999998</v>
      </c>
      <c r="N42" s="83"/>
      <c r="O42" s="36">
        <f t="shared" si="9"/>
        <v>1111.7939999999999</v>
      </c>
      <c r="P42" s="36">
        <f t="shared" si="10"/>
        <v>1209.079</v>
      </c>
      <c r="Q42" s="36">
        <f t="shared" si="11"/>
        <v>1310.24</v>
      </c>
      <c r="R42" s="36">
        <f t="shared" si="12"/>
        <v>1297.6500000000001</v>
      </c>
      <c r="S42" s="83"/>
      <c r="T42" s="36">
        <f t="shared" si="14"/>
        <v>4877.369999999999</v>
      </c>
      <c r="U42" s="36">
        <f t="shared" si="13"/>
        <v>4928.762999999999</v>
      </c>
    </row>
    <row r="43" spans="1:21" x14ac:dyDescent="0.2">
      <c r="A43" s="86">
        <v>1995</v>
      </c>
      <c r="B43" s="36">
        <v>340.14299999999997</v>
      </c>
      <c r="C43" s="36">
        <v>331.99900000000002</v>
      </c>
      <c r="D43" s="36">
        <v>431.53899999999999</v>
      </c>
      <c r="E43" s="36">
        <v>380.48899999999998</v>
      </c>
      <c r="F43" s="36">
        <v>424.322</v>
      </c>
      <c r="G43" s="36">
        <v>437.76799999999997</v>
      </c>
      <c r="H43" s="36">
        <v>369.01799999999997</v>
      </c>
      <c r="I43" s="36">
        <v>443.71100000000001</v>
      </c>
      <c r="J43" s="36">
        <v>423.02600000000001</v>
      </c>
      <c r="K43" s="36">
        <v>431.15600000000001</v>
      </c>
      <c r="L43" s="36">
        <v>413.28699999999998</v>
      </c>
      <c r="M43" s="36">
        <v>381.34699999999998</v>
      </c>
      <c r="N43" s="83"/>
      <c r="O43" s="36">
        <f t="shared" si="9"/>
        <v>1103.681</v>
      </c>
      <c r="P43" s="36">
        <f t="shared" si="10"/>
        <v>1242.579</v>
      </c>
      <c r="Q43" s="36">
        <f t="shared" si="11"/>
        <v>1235.7550000000001</v>
      </c>
      <c r="R43" s="36">
        <f t="shared" si="12"/>
        <v>1225.79</v>
      </c>
      <c r="S43" s="83"/>
      <c r="T43" s="36">
        <f t="shared" si="14"/>
        <v>4879.665</v>
      </c>
      <c r="U43" s="36">
        <f t="shared" si="13"/>
        <v>4807.8050000000003</v>
      </c>
    </row>
    <row r="44" spans="1:21" x14ac:dyDescent="0.2">
      <c r="A44" s="86">
        <v>1996</v>
      </c>
      <c r="B44" s="36">
        <v>353.238</v>
      </c>
      <c r="C44" s="36">
        <v>376.03300000000002</v>
      </c>
      <c r="D44" s="36">
        <v>442.93200000000002</v>
      </c>
      <c r="E44" s="36">
        <v>425.38499999999999</v>
      </c>
      <c r="F44" s="36">
        <v>451.76900000000001</v>
      </c>
      <c r="G44" s="36">
        <v>471.36599999999999</v>
      </c>
      <c r="H44" s="36">
        <v>463.09300000000002</v>
      </c>
      <c r="I44" s="36">
        <v>487.52600000000001</v>
      </c>
      <c r="J44" s="36">
        <v>564.56100000000004</v>
      </c>
      <c r="K44" s="36">
        <v>547.44399999999996</v>
      </c>
      <c r="L44" s="36">
        <v>499.85399999999998</v>
      </c>
      <c r="M44" s="36">
        <v>456.28699999999998</v>
      </c>
      <c r="N44" s="83"/>
      <c r="O44" s="36">
        <f t="shared" si="9"/>
        <v>1172.203</v>
      </c>
      <c r="P44" s="36">
        <f t="shared" si="10"/>
        <v>1348.52</v>
      </c>
      <c r="Q44" s="36">
        <f t="shared" si="11"/>
        <v>1515.18</v>
      </c>
      <c r="R44" s="36">
        <f t="shared" si="12"/>
        <v>1503.585</v>
      </c>
      <c r="S44" s="83"/>
      <c r="T44" s="36">
        <f t="shared" si="14"/>
        <v>5261.6930000000002</v>
      </c>
      <c r="U44" s="36">
        <f t="shared" si="13"/>
        <v>5539.4880000000003</v>
      </c>
    </row>
    <row r="45" spans="1:21" x14ac:dyDescent="0.2">
      <c r="A45" s="86">
        <v>1997</v>
      </c>
      <c r="B45" s="36">
        <v>397.21199999999999</v>
      </c>
      <c r="C45" s="36">
        <v>395.96</v>
      </c>
      <c r="D45" s="36">
        <v>480.67700000000002</v>
      </c>
      <c r="E45" s="36">
        <v>444.06099999999998</v>
      </c>
      <c r="F45" s="36">
        <v>474.05599999999998</v>
      </c>
      <c r="G45" s="36">
        <v>508.50599999999997</v>
      </c>
      <c r="H45" s="36">
        <v>461.80200000000002</v>
      </c>
      <c r="I45" s="36">
        <v>475.786</v>
      </c>
      <c r="J45" s="36">
        <v>499.55099999999999</v>
      </c>
      <c r="K45" s="36">
        <v>525.20699999999999</v>
      </c>
      <c r="L45" s="36">
        <v>459.387</v>
      </c>
      <c r="M45" s="36">
        <v>430.92</v>
      </c>
      <c r="N45" s="83"/>
      <c r="O45" s="36">
        <f t="shared" si="9"/>
        <v>1273.8490000000002</v>
      </c>
      <c r="P45" s="36">
        <f t="shared" si="10"/>
        <v>1426.623</v>
      </c>
      <c r="Q45" s="36">
        <f t="shared" si="11"/>
        <v>1437.1389999999999</v>
      </c>
      <c r="R45" s="36">
        <f t="shared" si="12"/>
        <v>1415.5140000000001</v>
      </c>
      <c r="S45" s="83"/>
      <c r="T45" s="36">
        <f t="shared" si="14"/>
        <v>5641.1960000000008</v>
      </c>
      <c r="U45" s="36">
        <f t="shared" si="13"/>
        <v>5553.125</v>
      </c>
    </row>
    <row r="46" spans="1:21" x14ac:dyDescent="0.2">
      <c r="A46" s="86">
        <v>1998</v>
      </c>
      <c r="B46" s="36">
        <v>369.18400000000003</v>
      </c>
      <c r="C46" s="36">
        <v>390.96899999999999</v>
      </c>
      <c r="D46" s="36">
        <v>469.57900000000001</v>
      </c>
      <c r="E46" s="36">
        <v>429.57600000000002</v>
      </c>
      <c r="F46" s="36">
        <v>428.82299999999998</v>
      </c>
      <c r="G46" s="36">
        <v>480.72500000000002</v>
      </c>
      <c r="H46" s="36">
        <v>432.38499999999999</v>
      </c>
      <c r="I46" s="36">
        <v>438.43599999999998</v>
      </c>
      <c r="J46" s="36">
        <v>505.72300000000001</v>
      </c>
      <c r="K46" s="36">
        <v>486.25299999999999</v>
      </c>
      <c r="L46" s="36">
        <v>466.654</v>
      </c>
      <c r="M46" s="36">
        <v>451.12700000000001</v>
      </c>
      <c r="N46" s="83"/>
      <c r="O46" s="36">
        <f t="shared" si="9"/>
        <v>1229.732</v>
      </c>
      <c r="P46" s="36">
        <f t="shared" si="10"/>
        <v>1339.124</v>
      </c>
      <c r="Q46" s="36">
        <f t="shared" si="11"/>
        <v>1376.5439999999999</v>
      </c>
      <c r="R46" s="36">
        <f t="shared" si="12"/>
        <v>1404.0339999999999</v>
      </c>
      <c r="S46" s="83"/>
      <c r="T46" s="36">
        <f t="shared" si="14"/>
        <v>5360.9139999999998</v>
      </c>
      <c r="U46" s="36">
        <f t="shared" si="13"/>
        <v>5349.4339999999993</v>
      </c>
    </row>
    <row r="47" spans="1:21" x14ac:dyDescent="0.2">
      <c r="A47" s="86">
        <v>1999</v>
      </c>
      <c r="B47" s="36">
        <v>354.55700000000002</v>
      </c>
      <c r="C47" s="36">
        <v>378.56299999999999</v>
      </c>
      <c r="D47" s="36">
        <v>453.30900000000003</v>
      </c>
      <c r="E47" s="36">
        <v>451.94499999999999</v>
      </c>
      <c r="F47" s="36">
        <v>500.47899999999998</v>
      </c>
      <c r="G47" s="36">
        <v>476.22969999999998</v>
      </c>
      <c r="H47" s="36">
        <v>432.92200000000003</v>
      </c>
      <c r="I47" s="36">
        <v>489.548</v>
      </c>
      <c r="J47" s="36">
        <v>484.97300000000001</v>
      </c>
      <c r="K47" s="36">
        <v>482.66</v>
      </c>
      <c r="L47" s="36">
        <v>480.96800000000002</v>
      </c>
      <c r="M47" s="36">
        <v>432.64100000000002</v>
      </c>
      <c r="N47" s="83"/>
      <c r="O47" s="36">
        <f t="shared" si="9"/>
        <v>1186.4290000000001</v>
      </c>
      <c r="P47" s="36">
        <f t="shared" si="10"/>
        <v>1428.6536999999998</v>
      </c>
      <c r="Q47" s="36">
        <f t="shared" si="11"/>
        <v>1407.443</v>
      </c>
      <c r="R47" s="36">
        <f t="shared" si="12"/>
        <v>1396.269</v>
      </c>
      <c r="S47" s="83"/>
      <c r="T47" s="36">
        <f t="shared" si="14"/>
        <v>5426.5596999999998</v>
      </c>
      <c r="U47" s="36">
        <f t="shared" si="13"/>
        <v>5418.7947000000004</v>
      </c>
    </row>
    <row r="48" spans="1:21" x14ac:dyDescent="0.2">
      <c r="A48" s="76">
        <v>2000</v>
      </c>
      <c r="B48" s="36">
        <v>383.3</v>
      </c>
      <c r="C48" s="36">
        <v>404.43</v>
      </c>
      <c r="D48" s="36">
        <v>484.23899999999998</v>
      </c>
      <c r="E48" s="36">
        <v>425.49</v>
      </c>
      <c r="F48" s="36">
        <v>452.416</v>
      </c>
      <c r="G48" s="36">
        <v>487.50599999999997</v>
      </c>
      <c r="H48" s="36">
        <v>455.36099999999999</v>
      </c>
      <c r="I48" s="36">
        <f>0.839+529.163</f>
        <v>530.00200000000007</v>
      </c>
      <c r="J48" s="36">
        <v>471.05200000000002</v>
      </c>
      <c r="K48" s="36">
        <v>534.27099999999996</v>
      </c>
      <c r="L48" s="36">
        <v>481.125</v>
      </c>
      <c r="M48" s="36">
        <v>398.38900000000001</v>
      </c>
      <c r="N48" s="83"/>
      <c r="O48" s="36">
        <f t="shared" si="9"/>
        <v>1271.9690000000001</v>
      </c>
      <c r="P48" s="36">
        <f t="shared" si="10"/>
        <v>1365.4119999999998</v>
      </c>
      <c r="Q48" s="36">
        <f t="shared" si="11"/>
        <v>1456.415</v>
      </c>
      <c r="R48" s="36">
        <f t="shared" si="12"/>
        <v>1413.7849999999999</v>
      </c>
      <c r="S48" s="83"/>
      <c r="T48" s="36">
        <f t="shared" si="14"/>
        <v>5490.0650000000005</v>
      </c>
      <c r="U48" s="36">
        <f t="shared" si="13"/>
        <v>5507.5810000000001</v>
      </c>
    </row>
    <row r="49" spans="1:21" x14ac:dyDescent="0.2">
      <c r="A49" s="82">
        <v>2001</v>
      </c>
      <c r="B49" s="36">
        <v>409.97699999999998</v>
      </c>
      <c r="C49" s="36">
        <v>371.16</v>
      </c>
      <c r="D49" s="36">
        <v>469.81900000000002</v>
      </c>
      <c r="E49" s="36">
        <v>412.911</v>
      </c>
      <c r="F49" s="36">
        <v>431.13900000000001</v>
      </c>
      <c r="G49" s="36">
        <v>457.851</v>
      </c>
      <c r="H49" s="36">
        <v>418.63499999999999</v>
      </c>
      <c r="I49" s="36">
        <v>446.15199999999999</v>
      </c>
      <c r="J49" s="36">
        <v>416.81900000000002</v>
      </c>
      <c r="K49" s="36">
        <f>486.709</f>
        <v>486.709</v>
      </c>
      <c r="L49" s="36">
        <v>466.92</v>
      </c>
      <c r="M49" s="36">
        <v>384.065</v>
      </c>
      <c r="N49" s="83"/>
      <c r="O49" s="36">
        <f t="shared" si="9"/>
        <v>1250.9559999999999</v>
      </c>
      <c r="P49" s="36">
        <f t="shared" si="10"/>
        <v>1301.9009999999998</v>
      </c>
      <c r="Q49" s="36">
        <f t="shared" si="11"/>
        <v>1281.606</v>
      </c>
      <c r="R49" s="36">
        <f t="shared" si="12"/>
        <v>1337.694</v>
      </c>
      <c r="S49" s="83"/>
      <c r="T49" s="36">
        <f t="shared" si="14"/>
        <v>5248.2479999999996</v>
      </c>
      <c r="U49" s="36">
        <f t="shared" si="13"/>
        <v>5172.1569999999992</v>
      </c>
    </row>
    <row r="50" spans="1:21" x14ac:dyDescent="0.2">
      <c r="A50" s="84">
        <v>2002</v>
      </c>
      <c r="B50" s="36">
        <v>392.17099999999999</v>
      </c>
      <c r="C50" s="36">
        <v>378.44900000000001</v>
      </c>
      <c r="D50" s="36">
        <v>436.911</v>
      </c>
      <c r="E50" s="36">
        <v>424.37599999999998</v>
      </c>
      <c r="F50" s="36">
        <v>458.113</v>
      </c>
      <c r="G50" s="36">
        <v>490.267</v>
      </c>
      <c r="H50" s="36">
        <v>471.56099999999998</v>
      </c>
      <c r="I50" s="36">
        <v>486.31099999999998</v>
      </c>
      <c r="J50" s="36">
        <f>548.636</f>
        <v>548.63599999999997</v>
      </c>
      <c r="K50" s="36">
        <f>468.473</f>
        <v>468.47300000000001</v>
      </c>
      <c r="L50" s="36">
        <f>444.439</f>
        <v>444.43900000000002</v>
      </c>
      <c r="M50" s="36">
        <v>407.495</v>
      </c>
      <c r="N50" s="83"/>
      <c r="O50" s="36">
        <f t="shared" si="9"/>
        <v>1207.5309999999999</v>
      </c>
      <c r="P50" s="36">
        <f t="shared" ref="P50:P70" si="15">SUM(E50:G50)</f>
        <v>1372.7560000000001</v>
      </c>
      <c r="Q50" s="36">
        <f t="shared" si="11"/>
        <v>1506.5079999999998</v>
      </c>
      <c r="R50" s="36">
        <f t="shared" si="12"/>
        <v>1320.4070000000002</v>
      </c>
      <c r="S50" s="83"/>
      <c r="T50" s="36">
        <f t="shared" si="14"/>
        <v>5424.4889999999996</v>
      </c>
      <c r="U50" s="36">
        <f t="shared" si="13"/>
        <v>5407.2020000000002</v>
      </c>
    </row>
    <row r="51" spans="1:21" x14ac:dyDescent="0.2">
      <c r="A51" s="84">
        <v>2003</v>
      </c>
      <c r="B51" s="36">
        <v>371.774</v>
      </c>
      <c r="C51" s="36">
        <v>376.93599999999998</v>
      </c>
      <c r="D51" s="36">
        <v>467.03899999999999</v>
      </c>
      <c r="E51" s="36">
        <v>433.78899999999999</v>
      </c>
      <c r="F51" s="36">
        <v>408.11200000000002</v>
      </c>
      <c r="G51" s="36">
        <v>475.48700000000002</v>
      </c>
      <c r="H51" s="36">
        <v>421.14400000000001</v>
      </c>
      <c r="I51" s="36">
        <v>488.06299999999999</v>
      </c>
      <c r="J51" s="36">
        <v>414.51100000000002</v>
      </c>
      <c r="K51" s="36">
        <v>476.2</v>
      </c>
      <c r="L51" s="36">
        <v>485.601</v>
      </c>
      <c r="M51" s="36">
        <v>413.351</v>
      </c>
      <c r="N51" s="83"/>
      <c r="O51" s="36">
        <f t="shared" si="9"/>
        <v>1215.749</v>
      </c>
      <c r="P51" s="36">
        <f t="shared" si="15"/>
        <v>1317.3880000000001</v>
      </c>
      <c r="Q51" s="36">
        <f t="shared" si="11"/>
        <v>1323.7180000000001</v>
      </c>
      <c r="R51" s="36">
        <f t="shared" si="12"/>
        <v>1375.152</v>
      </c>
      <c r="S51" s="83"/>
      <c r="T51" s="36">
        <f t="shared" si="14"/>
        <v>5177.2619999999997</v>
      </c>
      <c r="U51" s="36">
        <f t="shared" si="13"/>
        <v>5232.0070000000005</v>
      </c>
    </row>
    <row r="52" spans="1:21" x14ac:dyDescent="0.2">
      <c r="A52" s="84">
        <v>2004</v>
      </c>
      <c r="B52" s="36">
        <v>345.84</v>
      </c>
      <c r="C52" s="36">
        <v>392.55200000000002</v>
      </c>
      <c r="D52" s="36">
        <v>405.91800000000001</v>
      </c>
      <c r="E52" s="36">
        <v>376.83199999999999</v>
      </c>
      <c r="F52" s="36">
        <v>414.99799999999999</v>
      </c>
      <c r="G52" s="36">
        <v>408.42099999999999</v>
      </c>
      <c r="H52" s="36">
        <v>404.37400000000002</v>
      </c>
      <c r="I52" s="36">
        <v>448.46899999999999</v>
      </c>
      <c r="J52" s="36">
        <v>414.774</v>
      </c>
      <c r="K52" s="36">
        <v>527.80100000000004</v>
      </c>
      <c r="L52" s="36">
        <v>465.76400000000001</v>
      </c>
      <c r="M52" s="36">
        <v>383.34199999999998</v>
      </c>
      <c r="N52" s="83"/>
      <c r="O52" s="36">
        <f t="shared" si="9"/>
        <v>1144.31</v>
      </c>
      <c r="P52" s="36">
        <f t="shared" si="15"/>
        <v>1200.251</v>
      </c>
      <c r="Q52" s="36">
        <f t="shared" si="11"/>
        <v>1267.6170000000002</v>
      </c>
      <c r="R52" s="36">
        <f t="shared" si="12"/>
        <v>1376.9070000000002</v>
      </c>
      <c r="S52" s="83"/>
      <c r="T52" s="36">
        <f t="shared" si="14"/>
        <v>4987.33</v>
      </c>
      <c r="U52" s="36">
        <f t="shared" si="13"/>
        <v>4989.085</v>
      </c>
    </row>
    <row r="53" spans="1:21" x14ac:dyDescent="0.2">
      <c r="A53" s="84">
        <v>2005</v>
      </c>
      <c r="B53" s="36">
        <v>377.38600000000002</v>
      </c>
      <c r="C53" s="36">
        <v>362.96</v>
      </c>
      <c r="D53" s="36">
        <v>458.85500000000002</v>
      </c>
      <c r="E53" s="36">
        <v>400.15300000000002</v>
      </c>
      <c r="F53" s="36">
        <v>436.70699999999999</v>
      </c>
      <c r="G53" s="36">
        <v>440.63400000000001</v>
      </c>
      <c r="H53" s="36">
        <v>418.11399999999998</v>
      </c>
      <c r="I53" s="36">
        <v>476.65</v>
      </c>
      <c r="J53" s="36">
        <v>458.154</v>
      </c>
      <c r="K53" s="36">
        <v>475.84500000000003</v>
      </c>
      <c r="L53" s="36">
        <v>429.48</v>
      </c>
      <c r="M53" s="36">
        <v>400.79700000000003</v>
      </c>
      <c r="N53" s="83"/>
      <c r="O53" s="36">
        <f t="shared" si="9"/>
        <v>1199.201</v>
      </c>
      <c r="P53" s="36">
        <f t="shared" si="15"/>
        <v>1277.4940000000001</v>
      </c>
      <c r="Q53" s="36">
        <f t="shared" si="11"/>
        <v>1352.9179999999999</v>
      </c>
      <c r="R53" s="36">
        <f t="shared" si="12"/>
        <v>1306.1220000000001</v>
      </c>
      <c r="S53" s="83"/>
      <c r="T53" s="36">
        <f t="shared" si="14"/>
        <v>5206.5200000000004</v>
      </c>
      <c r="U53" s="36">
        <f t="shared" si="13"/>
        <v>5135.7350000000006</v>
      </c>
    </row>
    <row r="54" spans="1:21" x14ac:dyDescent="0.2">
      <c r="A54" s="84">
        <v>2006</v>
      </c>
      <c r="B54" s="36">
        <v>405.15</v>
      </c>
      <c r="C54" s="36">
        <v>383.12799999999999</v>
      </c>
      <c r="D54" s="36">
        <v>439.923</v>
      </c>
      <c r="E54" s="36">
        <v>405.08800000000002</v>
      </c>
      <c r="F54" s="36">
        <v>434.09500000000003</v>
      </c>
      <c r="G54" s="36">
        <v>466.03199999999998</v>
      </c>
      <c r="H54" s="36">
        <v>434.584</v>
      </c>
      <c r="I54" s="36">
        <v>493.52</v>
      </c>
      <c r="J54" s="36">
        <v>441.03899999999999</v>
      </c>
      <c r="K54" s="36">
        <v>486.952</v>
      </c>
      <c r="L54" s="36">
        <v>456.32</v>
      </c>
      <c r="M54" s="36">
        <v>383.733</v>
      </c>
      <c r="N54" s="83"/>
      <c r="O54" s="36">
        <f t="shared" si="9"/>
        <v>1228.201</v>
      </c>
      <c r="P54" s="36">
        <f t="shared" si="15"/>
        <v>1305.2149999999999</v>
      </c>
      <c r="Q54" s="36">
        <f t="shared" si="11"/>
        <v>1369.143</v>
      </c>
      <c r="R54" s="36">
        <f t="shared" si="12"/>
        <v>1327.0049999999999</v>
      </c>
      <c r="S54" s="83"/>
      <c r="T54" s="36">
        <f t="shared" si="14"/>
        <v>5208.6810000000005</v>
      </c>
      <c r="U54" s="36">
        <f t="shared" si="13"/>
        <v>5229.5640000000003</v>
      </c>
    </row>
    <row r="55" spans="1:21" x14ac:dyDescent="0.2">
      <c r="A55" s="84">
        <v>2007</v>
      </c>
      <c r="B55" s="36">
        <v>399.24599999999998</v>
      </c>
      <c r="C55" s="36">
        <v>362.68599999999998</v>
      </c>
      <c r="D55" s="36">
        <v>454.99799999999999</v>
      </c>
      <c r="E55" s="36">
        <v>425.80399999999997</v>
      </c>
      <c r="F55" s="36">
        <v>426.08800000000002</v>
      </c>
      <c r="G55" s="36">
        <v>429.26600000000002</v>
      </c>
      <c r="H55" s="36">
        <v>399.80700000000002</v>
      </c>
      <c r="I55" s="36">
        <v>497.00200000000001</v>
      </c>
      <c r="J55" s="36">
        <v>434.72199999999998</v>
      </c>
      <c r="K55" s="36">
        <v>447.81200000000001</v>
      </c>
      <c r="L55" s="36">
        <v>469.68400000000003</v>
      </c>
      <c r="M55" s="36">
        <v>375.404</v>
      </c>
      <c r="N55" s="83"/>
      <c r="O55" s="36">
        <f t="shared" si="9"/>
        <v>1216.93</v>
      </c>
      <c r="P55" s="36">
        <f t="shared" si="15"/>
        <v>1281.1580000000001</v>
      </c>
      <c r="Q55" s="36">
        <f t="shared" si="11"/>
        <v>1331.5309999999999</v>
      </c>
      <c r="R55" s="36">
        <f t="shared" si="12"/>
        <v>1292.9000000000001</v>
      </c>
      <c r="S55" s="83"/>
      <c r="T55" s="36">
        <f t="shared" si="14"/>
        <v>5156.6239999999998</v>
      </c>
      <c r="U55" s="36">
        <f t="shared" si="13"/>
        <v>5122.5190000000002</v>
      </c>
    </row>
    <row r="56" spans="1:21" x14ac:dyDescent="0.2">
      <c r="A56" s="84">
        <v>2008</v>
      </c>
      <c r="B56" s="36">
        <v>407.53</v>
      </c>
      <c r="C56" s="36">
        <v>410.387</v>
      </c>
      <c r="D56" s="36">
        <v>441.61099999999999</v>
      </c>
      <c r="E56" s="36">
        <v>392.20400000000001</v>
      </c>
      <c r="F56" s="36">
        <v>442.536</v>
      </c>
      <c r="G56" s="36">
        <v>407.36700000000002</v>
      </c>
      <c r="H56" s="36">
        <v>434.34500000000003</v>
      </c>
      <c r="I56" s="36">
        <v>431.52300000000002</v>
      </c>
      <c r="J56" s="36">
        <v>425.27</v>
      </c>
      <c r="K56" s="36">
        <v>449.30200000000002</v>
      </c>
      <c r="L56" s="36">
        <v>433.226</v>
      </c>
      <c r="M56" s="36">
        <v>399.67700000000002</v>
      </c>
      <c r="N56" s="83"/>
      <c r="O56" s="36">
        <f t="shared" si="9"/>
        <v>1259.5279999999998</v>
      </c>
      <c r="P56" s="36">
        <f t="shared" si="15"/>
        <v>1242.107</v>
      </c>
      <c r="Q56" s="36">
        <f t="shared" si="11"/>
        <v>1291.1379999999999</v>
      </c>
      <c r="R56" s="36">
        <f t="shared" si="12"/>
        <v>1282.2049999999999</v>
      </c>
      <c r="S56" s="83"/>
      <c r="T56" s="36">
        <f t="shared" si="14"/>
        <v>5085.6729999999998</v>
      </c>
      <c r="U56" s="36">
        <f t="shared" si="13"/>
        <v>5074.9779999999992</v>
      </c>
    </row>
    <row r="57" spans="1:21" x14ac:dyDescent="0.2">
      <c r="A57" s="76">
        <v>2009</v>
      </c>
      <c r="B57" s="36">
        <v>393.76400000000001</v>
      </c>
      <c r="C57" s="36">
        <v>388.95</v>
      </c>
      <c r="D57" s="36">
        <v>467.85</v>
      </c>
      <c r="E57" s="36">
        <v>444.63499999999999</v>
      </c>
      <c r="F57" s="36">
        <v>457.93200000000002</v>
      </c>
      <c r="G57" s="36">
        <v>467.14800000000002</v>
      </c>
      <c r="H57" s="36">
        <v>498.50800000000004</v>
      </c>
      <c r="I57" s="36">
        <v>489.43400000000003</v>
      </c>
      <c r="J57" s="36">
        <v>518.01300000000003</v>
      </c>
      <c r="K57" s="36">
        <v>506.97300000000001</v>
      </c>
      <c r="L57" s="36">
        <v>454.33499999999998</v>
      </c>
      <c r="M57" s="36">
        <v>405.80700000000002</v>
      </c>
      <c r="N57" s="83"/>
      <c r="O57" s="36">
        <f t="shared" si="9"/>
        <v>1250.5639999999999</v>
      </c>
      <c r="P57" s="36">
        <f t="shared" si="15"/>
        <v>1369.7150000000001</v>
      </c>
      <c r="Q57" s="36">
        <f t="shared" si="11"/>
        <v>1505.9549999999999</v>
      </c>
      <c r="R57" s="36">
        <f t="shared" si="12"/>
        <v>1367.115</v>
      </c>
      <c r="S57" s="83"/>
      <c r="T57" s="36">
        <f t="shared" si="14"/>
        <v>5408.4390000000003</v>
      </c>
      <c r="U57" s="36">
        <f t="shared" si="13"/>
        <v>5493.3490000000002</v>
      </c>
    </row>
    <row r="58" spans="1:21" x14ac:dyDescent="0.2">
      <c r="A58" s="76">
        <v>2010</v>
      </c>
      <c r="B58" s="36">
        <v>397.39299999999997</v>
      </c>
      <c r="C58" s="36">
        <v>419.40699999999998</v>
      </c>
      <c r="D58" s="36">
        <v>476.798</v>
      </c>
      <c r="E58" s="36">
        <v>443.99099999999999</v>
      </c>
      <c r="F58" s="36">
        <v>472.02600000000001</v>
      </c>
      <c r="G58" s="36">
        <v>505.755</v>
      </c>
      <c r="H58" s="36">
        <v>510.38900000000001</v>
      </c>
      <c r="I58" s="36">
        <v>543.13900000000001</v>
      </c>
      <c r="J58" s="36">
        <v>500.53300000000002</v>
      </c>
      <c r="K58" s="36">
        <v>497.19400000000002</v>
      </c>
      <c r="L58" s="36">
        <v>471.53199999999998</v>
      </c>
      <c r="M58" s="36">
        <v>396.95100000000002</v>
      </c>
      <c r="N58" s="83"/>
      <c r="O58" s="36">
        <f t="shared" si="9"/>
        <v>1293.598</v>
      </c>
      <c r="P58" s="36">
        <f t="shared" si="15"/>
        <v>1421.7719999999999</v>
      </c>
      <c r="Q58" s="36">
        <f t="shared" si="11"/>
        <v>1554.0610000000001</v>
      </c>
      <c r="R58" s="36">
        <f t="shared" si="12"/>
        <v>1365.6770000000001</v>
      </c>
      <c r="S58" s="83"/>
      <c r="T58" s="36">
        <f t="shared" si="14"/>
        <v>5636.5460000000003</v>
      </c>
      <c r="U58" s="36">
        <f t="shared" si="13"/>
        <v>5635.1080000000002</v>
      </c>
    </row>
    <row r="59" spans="1:21" x14ac:dyDescent="0.2">
      <c r="A59" s="76">
        <v>2011</v>
      </c>
      <c r="B59" s="36">
        <v>400.91300000000001</v>
      </c>
      <c r="C59" s="36">
        <v>396.447</v>
      </c>
      <c r="D59" s="36">
        <v>503.91899999999998</v>
      </c>
      <c r="E59" s="36">
        <v>429.93400000000003</v>
      </c>
      <c r="F59" s="36">
        <v>449.35700000000003</v>
      </c>
      <c r="G59" s="36">
        <v>449.45</v>
      </c>
      <c r="H59" s="36">
        <v>489.69099999999997</v>
      </c>
      <c r="I59" s="36">
        <v>538.78899999999999</v>
      </c>
      <c r="J59" s="36">
        <v>503.87200000000001</v>
      </c>
      <c r="K59" s="36">
        <v>511.46600000000001</v>
      </c>
      <c r="L59" s="36">
        <v>476.04199999999997</v>
      </c>
      <c r="M59" s="36">
        <v>421.69799999999998</v>
      </c>
      <c r="N59" s="83"/>
      <c r="O59" s="36">
        <f t="shared" si="9"/>
        <v>1301.279</v>
      </c>
      <c r="P59" s="36">
        <f t="shared" si="15"/>
        <v>1328.741</v>
      </c>
      <c r="Q59" s="36">
        <f t="shared" si="11"/>
        <v>1532.3520000000001</v>
      </c>
      <c r="R59" s="36">
        <f t="shared" si="12"/>
        <v>1409.2060000000001</v>
      </c>
      <c r="S59" s="83"/>
      <c r="T59" s="36">
        <f t="shared" si="14"/>
        <v>5528.049</v>
      </c>
      <c r="U59" s="36">
        <f t="shared" si="13"/>
        <v>5571.5780000000004</v>
      </c>
    </row>
    <row r="60" spans="1:21" x14ac:dyDescent="0.2">
      <c r="A60" s="76">
        <v>2012</v>
      </c>
      <c r="B60" s="36">
        <v>405.22</v>
      </c>
      <c r="C60" s="36">
        <v>432.43200000000002</v>
      </c>
      <c r="D60" s="36">
        <v>498.29500000000002</v>
      </c>
      <c r="E60" s="36">
        <v>419.95699999999999</v>
      </c>
      <c r="F60" s="36">
        <v>488.27</v>
      </c>
      <c r="G60" s="36">
        <v>477.517</v>
      </c>
      <c r="H60" s="36">
        <v>508.20699999999999</v>
      </c>
      <c r="I60" s="36">
        <v>520.74800000000005</v>
      </c>
      <c r="J60" s="36">
        <v>448.85599999999999</v>
      </c>
      <c r="K60" s="36">
        <v>512.60900000000004</v>
      </c>
      <c r="L60" s="36">
        <v>521.274</v>
      </c>
      <c r="M60" s="36">
        <v>414.21300000000002</v>
      </c>
      <c r="N60" s="83"/>
      <c r="O60" s="36">
        <f t="shared" si="9"/>
        <v>1335.9470000000001</v>
      </c>
      <c r="P60" s="36">
        <f t="shared" si="15"/>
        <v>1385.7439999999999</v>
      </c>
      <c r="Q60" s="36">
        <f t="shared" si="11"/>
        <v>1477.8109999999999</v>
      </c>
      <c r="R60" s="36">
        <f t="shared" si="12"/>
        <v>1448.096</v>
      </c>
      <c r="S60" s="83"/>
      <c r="T60" s="36">
        <f t="shared" si="14"/>
        <v>5608.7079999999996</v>
      </c>
      <c r="U60" s="36">
        <f t="shared" si="13"/>
        <v>5647.598</v>
      </c>
    </row>
    <row r="61" spans="1:21" x14ac:dyDescent="0.2">
      <c r="A61" s="76">
        <v>2013</v>
      </c>
      <c r="B61" s="36">
        <v>465.35</v>
      </c>
      <c r="C61" s="36">
        <v>423.15300000000002</v>
      </c>
      <c r="D61" s="36">
        <v>480.983</v>
      </c>
      <c r="E61" s="36">
        <v>458.96</v>
      </c>
      <c r="F61" s="36">
        <v>499.49400000000003</v>
      </c>
      <c r="G61" s="36">
        <v>478.07499999999999</v>
      </c>
      <c r="H61" s="36">
        <v>514.05499999999995</v>
      </c>
      <c r="I61" s="36">
        <v>501.75400000000002</v>
      </c>
      <c r="J61" s="36">
        <v>511.75700000000001</v>
      </c>
      <c r="K61" s="36">
        <v>554.56200000000001</v>
      </c>
      <c r="L61" s="36">
        <v>521.88300000000004</v>
      </c>
      <c r="M61" s="36">
        <v>439.38299999999998</v>
      </c>
      <c r="N61" s="83"/>
      <c r="O61" s="36">
        <f t="shared" si="9"/>
        <v>1369.4860000000001</v>
      </c>
      <c r="P61" s="36">
        <f t="shared" si="15"/>
        <v>1436.529</v>
      </c>
      <c r="Q61" s="36">
        <f t="shared" si="11"/>
        <v>1527.566</v>
      </c>
      <c r="R61" s="36">
        <f t="shared" si="12"/>
        <v>1515.8280000000002</v>
      </c>
      <c r="S61" s="83"/>
      <c r="T61" s="36">
        <f t="shared" si="14"/>
        <v>5781.6770000000006</v>
      </c>
      <c r="U61" s="36">
        <f t="shared" si="13"/>
        <v>5849.4090000000006</v>
      </c>
    </row>
    <row r="62" spans="1:21" x14ac:dyDescent="0.2">
      <c r="A62" s="76">
        <v>2014</v>
      </c>
      <c r="B62" s="36">
        <v>463.94799999999998</v>
      </c>
      <c r="C62" s="36">
        <v>475.83199999999999</v>
      </c>
      <c r="D62" s="36">
        <v>523.74599999999998</v>
      </c>
      <c r="E62" s="36">
        <v>494.54500000000002</v>
      </c>
      <c r="F62" s="36">
        <v>484.43099999999998</v>
      </c>
      <c r="G62" s="36">
        <v>494.92399999999998</v>
      </c>
      <c r="H62" s="36">
        <v>505</v>
      </c>
      <c r="I62" s="36">
        <v>524.41700000000003</v>
      </c>
      <c r="J62" s="36">
        <v>529.60799999999995</v>
      </c>
      <c r="K62" s="36">
        <v>579.08699999999999</v>
      </c>
      <c r="L62" s="36">
        <v>508.70600000000002</v>
      </c>
      <c r="M62" s="36">
        <v>484.72300000000001</v>
      </c>
      <c r="N62" s="83"/>
      <c r="O62" s="36">
        <f t="shared" si="9"/>
        <v>1463.5259999999998</v>
      </c>
      <c r="P62" s="36">
        <f t="shared" si="15"/>
        <v>1473.9</v>
      </c>
      <c r="Q62" s="36">
        <f t="shared" si="11"/>
        <v>1559.0249999999999</v>
      </c>
      <c r="R62" s="36">
        <f t="shared" si="12"/>
        <v>1572.5160000000001</v>
      </c>
      <c r="S62" s="83"/>
      <c r="T62" s="36">
        <f t="shared" si="14"/>
        <v>6012.2790000000005</v>
      </c>
      <c r="U62" s="36">
        <f t="shared" si="13"/>
        <v>6068.9670000000006</v>
      </c>
    </row>
    <row r="63" spans="1:21" x14ac:dyDescent="0.2">
      <c r="A63" s="76">
        <v>2015</v>
      </c>
      <c r="B63" s="36">
        <v>470.048</v>
      </c>
      <c r="C63" s="36">
        <v>449.66699999999997</v>
      </c>
      <c r="D63" s="36">
        <v>540.42499999999995</v>
      </c>
      <c r="E63" s="36">
        <v>491.99099999999999</v>
      </c>
      <c r="F63" s="36">
        <v>504.863</v>
      </c>
      <c r="G63" s="36">
        <v>549.64800000000002</v>
      </c>
      <c r="H63" s="36">
        <v>560.96799999999996</v>
      </c>
      <c r="I63" s="36">
        <v>554.04899999999998</v>
      </c>
      <c r="J63" s="36">
        <v>546.96299999999997</v>
      </c>
      <c r="K63" s="36">
        <v>548.15599999999995</v>
      </c>
      <c r="L63" s="36">
        <v>549.529</v>
      </c>
      <c r="M63" s="36">
        <v>519.13400000000001</v>
      </c>
      <c r="N63" s="83"/>
      <c r="O63" s="36">
        <f t="shared" si="9"/>
        <v>1460.1399999999999</v>
      </c>
      <c r="P63" s="36">
        <f t="shared" si="15"/>
        <v>1546.502</v>
      </c>
      <c r="Q63" s="36">
        <f t="shared" si="11"/>
        <v>1661.9799999999998</v>
      </c>
      <c r="R63" s="36">
        <f t="shared" si="12"/>
        <v>1616.819</v>
      </c>
      <c r="S63" s="83"/>
      <c r="T63" s="36">
        <f t="shared" si="14"/>
        <v>6241.137999999999</v>
      </c>
      <c r="U63" s="36">
        <f t="shared" si="13"/>
        <v>6285.4409999999989</v>
      </c>
    </row>
    <row r="64" spans="1:21" x14ac:dyDescent="0.2">
      <c r="A64" s="76">
        <v>2016</v>
      </c>
      <c r="B64" s="36">
        <v>475.28199999999998</v>
      </c>
      <c r="C64" s="36">
        <v>523.697</v>
      </c>
      <c r="D64" s="36">
        <v>558.62</v>
      </c>
      <c r="E64" s="36">
        <v>517.74400000000003</v>
      </c>
      <c r="F64" s="36">
        <v>529.23199999999997</v>
      </c>
      <c r="G64" s="36">
        <v>544.99800000000005</v>
      </c>
      <c r="H64" s="36">
        <v>522.33600000000001</v>
      </c>
      <c r="I64" s="36">
        <v>575.61099999999999</v>
      </c>
      <c r="J64" s="36">
        <v>579.71900000000005</v>
      </c>
      <c r="K64" s="36">
        <v>551.11599999999999</v>
      </c>
      <c r="L64" s="36">
        <v>543.45000000000005</v>
      </c>
      <c r="M64" s="36">
        <v>463.73599999999999</v>
      </c>
      <c r="N64" s="83"/>
      <c r="O64" s="36">
        <f t="shared" si="9"/>
        <v>1557.5990000000002</v>
      </c>
      <c r="P64" s="36">
        <f t="shared" si="15"/>
        <v>1591.9740000000002</v>
      </c>
      <c r="Q64" s="36">
        <f t="shared" si="11"/>
        <v>1677.6660000000002</v>
      </c>
      <c r="R64" s="36">
        <f t="shared" si="12"/>
        <v>1558.3020000000001</v>
      </c>
      <c r="S64" s="83"/>
      <c r="T64" s="36">
        <f t="shared" si="14"/>
        <v>6444.058</v>
      </c>
      <c r="U64" s="36">
        <f t="shared" si="13"/>
        <v>6385.5410000000011</v>
      </c>
    </row>
    <row r="65" spans="1:21" x14ac:dyDescent="0.2">
      <c r="A65" s="76">
        <v>2017</v>
      </c>
      <c r="B65" s="36">
        <v>469.32499999999999</v>
      </c>
      <c r="C65" s="36">
        <v>443.947</v>
      </c>
      <c r="D65" s="36">
        <v>526.65</v>
      </c>
      <c r="E65" s="36">
        <v>474.303</v>
      </c>
      <c r="F65" s="36">
        <v>514.67399999999998</v>
      </c>
      <c r="G65" s="36">
        <v>521.726</v>
      </c>
      <c r="H65" s="36">
        <v>485.649</v>
      </c>
      <c r="I65" s="36">
        <v>547.48699999999997</v>
      </c>
      <c r="J65" s="36">
        <v>502.02</v>
      </c>
      <c r="K65" s="36">
        <v>538.37300000000005</v>
      </c>
      <c r="L65" s="36">
        <v>505.59500000000003</v>
      </c>
      <c r="M65" s="36">
        <v>446.59899999999999</v>
      </c>
      <c r="N65" s="83"/>
      <c r="O65" s="36">
        <f t="shared" si="9"/>
        <v>1439.922</v>
      </c>
      <c r="P65" s="36">
        <f t="shared" si="15"/>
        <v>1510.703</v>
      </c>
      <c r="Q65" s="36">
        <f t="shared" si="11"/>
        <v>1535.1559999999999</v>
      </c>
      <c r="R65" s="36">
        <f t="shared" si="12"/>
        <v>1490.567</v>
      </c>
      <c r="S65" s="83"/>
      <c r="T65" s="36">
        <f t="shared" si="14"/>
        <v>6044.0829999999996</v>
      </c>
      <c r="U65" s="36">
        <f t="shared" si="13"/>
        <v>5976.348</v>
      </c>
    </row>
    <row r="66" spans="1:21" x14ac:dyDescent="0.2">
      <c r="A66" s="76">
        <v>2018</v>
      </c>
      <c r="B66" s="36">
        <v>476.24299999999999</v>
      </c>
      <c r="C66" s="36">
        <v>456.86900000000003</v>
      </c>
      <c r="D66" s="36">
        <v>522.31899999999996</v>
      </c>
      <c r="E66" s="36">
        <v>480.02</v>
      </c>
      <c r="F66" s="36">
        <v>537.30399999999997</v>
      </c>
      <c r="G66" s="36">
        <v>532.11300000000006</v>
      </c>
      <c r="H66" s="36">
        <v>536.78399999999999</v>
      </c>
      <c r="I66" s="36">
        <v>586.17200000000003</v>
      </c>
      <c r="J66" s="36">
        <v>494.25900000000001</v>
      </c>
      <c r="K66" s="36">
        <v>595.80799999999999</v>
      </c>
      <c r="L66" s="36">
        <v>526.02099999999996</v>
      </c>
      <c r="M66" s="36">
        <v>474.73899999999998</v>
      </c>
      <c r="N66" s="83"/>
      <c r="O66" s="36">
        <f t="shared" si="9"/>
        <v>1455.431</v>
      </c>
      <c r="P66" s="36">
        <f t="shared" si="15"/>
        <v>1549.4369999999999</v>
      </c>
      <c r="Q66" s="36">
        <f t="shared" si="11"/>
        <v>1617.2150000000001</v>
      </c>
      <c r="R66" s="36">
        <f t="shared" si="12"/>
        <v>1596.568</v>
      </c>
      <c r="S66" s="83"/>
      <c r="T66" s="36">
        <f t="shared" si="14"/>
        <v>6112.65</v>
      </c>
      <c r="U66" s="36">
        <f t="shared" si="13"/>
        <v>6218.6510000000007</v>
      </c>
    </row>
    <row r="67" spans="1:21" x14ac:dyDescent="0.2">
      <c r="A67" s="76">
        <v>2019</v>
      </c>
      <c r="B67" s="36">
        <v>511.81299999999999</v>
      </c>
      <c r="C67" s="36">
        <v>469.476</v>
      </c>
      <c r="D67" s="36">
        <v>527.51300000000003</v>
      </c>
      <c r="E67" s="36">
        <v>505.84100000000001</v>
      </c>
      <c r="F67" s="36">
        <v>520.60900000000004</v>
      </c>
      <c r="G67" s="36">
        <v>558.35500000000002</v>
      </c>
      <c r="H67" s="36">
        <v>512.64300000000003</v>
      </c>
      <c r="I67" s="89">
        <v>525.74</v>
      </c>
      <c r="J67" s="99">
        <v>573.28300000000002</v>
      </c>
      <c r="K67" s="36">
        <v>546.74900000000002</v>
      </c>
      <c r="L67" s="36">
        <v>528.91399999999999</v>
      </c>
      <c r="M67" s="36">
        <v>536.1</v>
      </c>
      <c r="N67" s="83"/>
      <c r="O67" s="36">
        <f t="shared" si="9"/>
        <v>1508.8020000000001</v>
      </c>
      <c r="P67" s="36">
        <f t="shared" si="15"/>
        <v>1584.8050000000001</v>
      </c>
      <c r="Q67" s="36">
        <f t="shared" si="11"/>
        <v>1611.6660000000002</v>
      </c>
      <c r="R67" s="36">
        <f t="shared" si="12"/>
        <v>1611.7629999999999</v>
      </c>
      <c r="S67" s="83"/>
      <c r="T67" s="36">
        <f t="shared" si="14"/>
        <v>6301.8410000000003</v>
      </c>
      <c r="U67" s="36">
        <f t="shared" si="13"/>
        <v>6317.0360000000001</v>
      </c>
    </row>
    <row r="68" spans="1:21" x14ac:dyDescent="0.2">
      <c r="A68" s="76">
        <v>2020</v>
      </c>
      <c r="B68" s="36">
        <v>499.58800000000002</v>
      </c>
      <c r="C68" s="36">
        <v>505.72699999999998</v>
      </c>
      <c r="D68" s="36">
        <v>650.76400000000001</v>
      </c>
      <c r="E68" s="36">
        <v>496.78399999999999</v>
      </c>
      <c r="F68" s="36">
        <v>567.00300000000004</v>
      </c>
      <c r="G68" s="36">
        <v>546.928</v>
      </c>
      <c r="H68" s="36">
        <v>571.69100000000003</v>
      </c>
      <c r="I68" s="36">
        <v>628.37199999999996</v>
      </c>
      <c r="J68" s="36">
        <v>536.84900000000005</v>
      </c>
      <c r="K68" s="36">
        <v>555.42999999999995</v>
      </c>
      <c r="L68" s="36">
        <v>570.55799999999999</v>
      </c>
      <c r="M68" s="36">
        <v>463.70600000000002</v>
      </c>
      <c r="N68" s="37"/>
      <c r="O68" s="36">
        <f t="shared" si="9"/>
        <v>1656.0790000000002</v>
      </c>
      <c r="P68" s="36">
        <f t="shared" si="15"/>
        <v>1610.7150000000001</v>
      </c>
      <c r="Q68" s="36">
        <f t="shared" si="11"/>
        <v>1736.9120000000003</v>
      </c>
      <c r="R68" s="36">
        <f t="shared" si="12"/>
        <v>1589.694</v>
      </c>
      <c r="S68" s="83"/>
      <c r="T68" s="36">
        <f t="shared" si="14"/>
        <v>6615.469000000001</v>
      </c>
      <c r="U68" s="36">
        <f t="shared" si="13"/>
        <v>6593.4</v>
      </c>
    </row>
    <row r="69" spans="1:21" x14ac:dyDescent="0.2">
      <c r="A69" s="76">
        <v>2021</v>
      </c>
      <c r="B69" s="36">
        <v>512.06200000000001</v>
      </c>
      <c r="C69" s="36">
        <v>456.36900000000003</v>
      </c>
      <c r="D69" s="36">
        <v>537.42100000000005</v>
      </c>
      <c r="E69" s="36">
        <v>509.43700000000001</v>
      </c>
      <c r="F69" s="36">
        <v>558.49900000000002</v>
      </c>
      <c r="G69" s="36">
        <v>506.22199999999998</v>
      </c>
      <c r="H69" s="36">
        <v>527.35400000000004</v>
      </c>
      <c r="I69" s="36">
        <v>581.51599999999996</v>
      </c>
      <c r="J69" s="36">
        <v>486.65</v>
      </c>
      <c r="K69" s="38">
        <v>591.10699999999997</v>
      </c>
      <c r="L69" s="38">
        <v>507.31299999999999</v>
      </c>
      <c r="M69" s="38">
        <v>460.56700000000001</v>
      </c>
      <c r="N69" s="37"/>
      <c r="O69" s="36">
        <f t="shared" si="9"/>
        <v>1505.8520000000001</v>
      </c>
      <c r="P69" s="36">
        <f t="shared" si="15"/>
        <v>1574.1580000000001</v>
      </c>
      <c r="Q69" s="36">
        <f>SUM(H69:J69)</f>
        <v>1595.52</v>
      </c>
      <c r="R69" s="36">
        <f t="shared" si="12"/>
        <v>1558.9870000000001</v>
      </c>
      <c r="S69" s="83"/>
      <c r="T69" s="36">
        <f>R68+O69+P69+Q69</f>
        <v>6265.2240000000002</v>
      </c>
      <c r="U69" s="36">
        <f t="shared" si="13"/>
        <v>6234.5170000000007</v>
      </c>
    </row>
    <row r="70" spans="1:21" x14ac:dyDescent="0.2">
      <c r="A70" s="76">
        <v>2022</v>
      </c>
      <c r="B70" s="36">
        <v>501.22800000000001</v>
      </c>
      <c r="C70" s="38">
        <v>470.46199999999999</v>
      </c>
      <c r="D70" s="38">
        <v>542.12800000000004</v>
      </c>
      <c r="E70" s="38">
        <v>501.85599999999999</v>
      </c>
      <c r="F70" s="38">
        <v>566.75199999999995</v>
      </c>
      <c r="G70" s="38">
        <v>526.93100000000004</v>
      </c>
      <c r="H70" s="38">
        <v>579.93600000000004</v>
      </c>
      <c r="I70" s="38">
        <v>565.19399999999996</v>
      </c>
      <c r="J70" s="38">
        <v>535.37300000000005</v>
      </c>
      <c r="K70" s="38">
        <v>608.58900000000006</v>
      </c>
      <c r="L70" s="38">
        <v>534.52300000000002</v>
      </c>
      <c r="M70" s="38">
        <v>524.61599999999999</v>
      </c>
      <c r="N70" s="83"/>
      <c r="O70" s="36">
        <f t="shared" si="9"/>
        <v>1513.8180000000002</v>
      </c>
      <c r="P70" s="36">
        <f t="shared" si="15"/>
        <v>1595.539</v>
      </c>
      <c r="Q70" s="36">
        <f>SUM(H70:J70)</f>
        <v>1680.5030000000002</v>
      </c>
      <c r="R70" s="36">
        <f t="shared" si="12"/>
        <v>1667.7280000000001</v>
      </c>
      <c r="S70" s="83"/>
      <c r="T70" s="36">
        <f>R69+O70+P70+Q70</f>
        <v>6348.8469999999998</v>
      </c>
      <c r="U70" s="36">
        <f t="shared" si="13"/>
        <v>6457.5880000000006</v>
      </c>
    </row>
    <row r="71" spans="1:21" x14ac:dyDescent="0.2">
      <c r="A71" s="76">
        <v>2023</v>
      </c>
      <c r="B71" s="36">
        <v>521.83900000000006</v>
      </c>
      <c r="C71" s="38">
        <v>494.34699999999998</v>
      </c>
      <c r="D71" s="38">
        <v>562.15</v>
      </c>
      <c r="E71" s="38">
        <v>551.15</v>
      </c>
      <c r="F71" s="38">
        <v>543.04399999999998</v>
      </c>
      <c r="G71" s="38">
        <v>503.03300000000002</v>
      </c>
      <c r="H71" s="38">
        <v>571.70899999999995</v>
      </c>
      <c r="I71" s="38">
        <v>552.61400000000003</v>
      </c>
      <c r="J71" s="38">
        <v>539.69200000000001</v>
      </c>
      <c r="K71" s="38">
        <v>626.33100000000002</v>
      </c>
      <c r="L71" s="38">
        <v>550.51700000000005</v>
      </c>
      <c r="M71" s="38">
        <v>553.93499999999995</v>
      </c>
      <c r="N71" s="83"/>
      <c r="O71" s="36">
        <f t="shared" si="9"/>
        <v>1578.336</v>
      </c>
      <c r="P71" s="36">
        <f t="shared" ref="P71:P72" si="16">SUM(E71:G71)</f>
        <v>1597.2269999999999</v>
      </c>
      <c r="Q71" s="36">
        <f>SUM(H71:J71)</f>
        <v>1664.0149999999999</v>
      </c>
      <c r="R71" s="36">
        <f t="shared" ref="R71" si="17">SUM(K71:M71)</f>
        <v>1730.7829999999999</v>
      </c>
      <c r="S71" s="83"/>
      <c r="T71" s="36">
        <f>R70+O71+P71+Q71</f>
        <v>6507.3060000000005</v>
      </c>
      <c r="U71" s="36">
        <f t="shared" ref="U71" si="18">SUM(O71:R71)</f>
        <v>6570.360999999999</v>
      </c>
    </row>
    <row r="72" spans="1:21" x14ac:dyDescent="0.2">
      <c r="A72" s="76">
        <v>2024</v>
      </c>
      <c r="B72" s="36">
        <v>515.99900000000002</v>
      </c>
      <c r="C72" s="38">
        <v>532.56200000000001</v>
      </c>
      <c r="D72" s="38">
        <v>618.68499999999995</v>
      </c>
      <c r="E72" s="38">
        <v>559.798</v>
      </c>
      <c r="F72" s="38">
        <v>556.77300000000002</v>
      </c>
      <c r="G72" s="38">
        <v>599.91600000000005</v>
      </c>
      <c r="H72" s="38">
        <v>539.18700000000001</v>
      </c>
      <c r="I72" s="38">
        <v>585.80399999999997</v>
      </c>
      <c r="J72" s="38">
        <v>555.178</v>
      </c>
      <c r="K72" s="38">
        <v>554.93600000000004</v>
      </c>
      <c r="L72" s="38">
        <v>573.84500000000003</v>
      </c>
      <c r="M72" s="38" t="s">
        <v>152</v>
      </c>
      <c r="N72" s="83"/>
      <c r="O72" s="36">
        <f t="shared" si="9"/>
        <v>1667.2460000000001</v>
      </c>
      <c r="P72" s="36">
        <f t="shared" si="16"/>
        <v>1716.4870000000001</v>
      </c>
      <c r="Q72" s="36">
        <f>SUM(H72:J72)</f>
        <v>1680.1689999999999</v>
      </c>
      <c r="R72" s="38" t="s">
        <v>152</v>
      </c>
      <c r="S72" s="83"/>
      <c r="T72" s="36">
        <f>R71+O72+P72+Q72</f>
        <v>6794.6849999999995</v>
      </c>
      <c r="U72" s="38" t="s">
        <v>152</v>
      </c>
    </row>
    <row r="73" spans="1:21" x14ac:dyDescent="0.2">
      <c r="A73" s="12" t="s">
        <v>153</v>
      </c>
      <c r="B73" s="37"/>
      <c r="C73" s="37"/>
      <c r="D73" s="37"/>
      <c r="E73" s="37"/>
      <c r="F73" s="37"/>
      <c r="G73" s="37"/>
      <c r="H73" s="37"/>
      <c r="I73" s="87"/>
      <c r="J73" s="37"/>
      <c r="K73" s="87"/>
      <c r="L73" s="37"/>
      <c r="M73" s="37"/>
      <c r="N73" s="83"/>
      <c r="O73" s="88"/>
      <c r="P73" s="88"/>
      <c r="Q73" s="88"/>
      <c r="R73" s="88"/>
      <c r="S73" s="83"/>
      <c r="T73" s="36"/>
      <c r="U73" s="36"/>
    </row>
    <row r="74" spans="1:21" x14ac:dyDescent="0.2">
      <c r="A74" s="76">
        <v>1992</v>
      </c>
      <c r="B74" s="36">
        <v>5.593</v>
      </c>
      <c r="C74" s="36">
        <v>6.0069999999999997</v>
      </c>
      <c r="D74" s="36">
        <v>3.0409999999999999</v>
      </c>
      <c r="E74" s="36">
        <v>2.956</v>
      </c>
      <c r="F74" s="36">
        <v>1.7629999999999999</v>
      </c>
      <c r="G74" s="36">
        <v>2.0699999999999998</v>
      </c>
      <c r="H74" s="36">
        <v>2.4849999999999999</v>
      </c>
      <c r="I74" s="36">
        <v>6.6420000000000003</v>
      </c>
      <c r="J74" s="36">
        <v>3.0529999999999999</v>
      </c>
      <c r="K74" s="36">
        <v>5.9619999999999997</v>
      </c>
      <c r="L74" s="36">
        <v>7.1509999999999998</v>
      </c>
      <c r="M74" s="36">
        <v>5.6059999999999999</v>
      </c>
      <c r="N74" s="83"/>
      <c r="O74" s="36">
        <f t="shared" ref="O74:O106" si="19">SUM(B74:D74)</f>
        <v>14.641</v>
      </c>
      <c r="P74" s="36">
        <f t="shared" ref="P74:P106" si="20">SUM(E74:G74)</f>
        <v>6.7889999999999997</v>
      </c>
      <c r="Q74" s="36">
        <f t="shared" ref="Q74:Q106" si="21">SUM(H74:J74)</f>
        <v>12.18</v>
      </c>
      <c r="R74" s="36">
        <f t="shared" ref="R74:R104" si="22">SUM(K74:M74)</f>
        <v>18.719000000000001</v>
      </c>
      <c r="S74" s="83"/>
      <c r="T74" s="36">
        <v>49.424999999999997</v>
      </c>
      <c r="U74" s="36">
        <f t="shared" ref="U74:U104" si="23">SUM(O74:R74)</f>
        <v>52.329000000000001</v>
      </c>
    </row>
    <row r="75" spans="1:21" x14ac:dyDescent="0.2">
      <c r="A75" s="76">
        <v>1993</v>
      </c>
      <c r="B75" s="36">
        <v>4.2519999999999998</v>
      </c>
      <c r="C75" s="36">
        <v>2.4550000000000001</v>
      </c>
      <c r="D75" s="36">
        <v>2.9089999999999998</v>
      </c>
      <c r="E75" s="36">
        <v>2.327</v>
      </c>
      <c r="F75" s="36">
        <v>5.3760000000000003</v>
      </c>
      <c r="G75" s="36">
        <v>8.8819999999999997</v>
      </c>
      <c r="H75" s="36">
        <v>1.17</v>
      </c>
      <c r="I75" s="36">
        <v>1.6120000000000001</v>
      </c>
      <c r="J75" s="36">
        <v>0.621</v>
      </c>
      <c r="K75" s="36">
        <v>9.3490000000000002</v>
      </c>
      <c r="L75" s="36">
        <v>5.585</v>
      </c>
      <c r="M75" s="36">
        <v>7.6959999999999997</v>
      </c>
      <c r="N75" s="83"/>
      <c r="O75" s="36">
        <f t="shared" si="19"/>
        <v>9.6159999999999997</v>
      </c>
      <c r="P75" s="36">
        <f t="shared" si="20"/>
        <v>16.585000000000001</v>
      </c>
      <c r="Q75" s="36">
        <f t="shared" si="21"/>
        <v>3.403</v>
      </c>
      <c r="R75" s="36">
        <f t="shared" si="22"/>
        <v>22.630000000000003</v>
      </c>
      <c r="S75" s="83"/>
      <c r="T75" s="36">
        <f t="shared" ref="T75:T102" si="24">R74+O75+P75+Q75</f>
        <v>48.323</v>
      </c>
      <c r="U75" s="36">
        <f t="shared" si="23"/>
        <v>52.234000000000002</v>
      </c>
    </row>
    <row r="76" spans="1:21" x14ac:dyDescent="0.2">
      <c r="A76" s="76">
        <v>1994</v>
      </c>
      <c r="B76" s="36">
        <v>5.1520000000000001</v>
      </c>
      <c r="C76" s="36">
        <v>3.246</v>
      </c>
      <c r="D76" s="36">
        <v>5.5659999999999998</v>
      </c>
      <c r="E76" s="36">
        <v>1.1439999999999999</v>
      </c>
      <c r="F76" s="36">
        <v>3.9510000000000001</v>
      </c>
      <c r="G76" s="36">
        <v>3.6469999999999998</v>
      </c>
      <c r="H76" s="36">
        <v>5.3479999999999999</v>
      </c>
      <c r="I76" s="36">
        <v>5.0810000000000004</v>
      </c>
      <c r="J76" s="36">
        <v>7.3369999999999997</v>
      </c>
      <c r="K76" s="36">
        <v>10.436999999999999</v>
      </c>
      <c r="L76" s="36">
        <v>15.294</v>
      </c>
      <c r="M76" s="36">
        <v>12.246</v>
      </c>
      <c r="N76" s="83"/>
      <c r="O76" s="36">
        <f t="shared" si="19"/>
        <v>13.963999999999999</v>
      </c>
      <c r="P76" s="36">
        <f t="shared" si="20"/>
        <v>8.7419999999999991</v>
      </c>
      <c r="Q76" s="36">
        <f t="shared" si="21"/>
        <v>17.765999999999998</v>
      </c>
      <c r="R76" s="36">
        <f t="shared" si="22"/>
        <v>37.977000000000004</v>
      </c>
      <c r="S76" s="83"/>
      <c r="T76" s="36">
        <f t="shared" si="24"/>
        <v>63.101999999999997</v>
      </c>
      <c r="U76" s="36">
        <f t="shared" si="23"/>
        <v>78.448999999999998</v>
      </c>
    </row>
    <row r="77" spans="1:21" x14ac:dyDescent="0.2">
      <c r="A77" s="86">
        <v>1995</v>
      </c>
      <c r="B77" s="36">
        <v>9.3439999999999994</v>
      </c>
      <c r="C77" s="36">
        <v>1.39</v>
      </c>
      <c r="D77" s="36">
        <v>1.4470000000000001</v>
      </c>
      <c r="E77" s="36">
        <v>2.331</v>
      </c>
      <c r="F77" s="36">
        <v>0.34200000000000003</v>
      </c>
      <c r="G77" s="36">
        <v>0.39300000000000002</v>
      </c>
      <c r="H77" s="36">
        <v>1.4410000000000001</v>
      </c>
      <c r="I77" s="36">
        <v>0.71799999999999997</v>
      </c>
      <c r="J77" s="36">
        <v>3.83</v>
      </c>
      <c r="K77" s="36">
        <v>17.428000000000001</v>
      </c>
      <c r="L77" s="36">
        <v>4.7119999999999997</v>
      </c>
      <c r="M77" s="36">
        <v>0.29899999999999999</v>
      </c>
      <c r="N77" s="83"/>
      <c r="O77" s="36">
        <f t="shared" si="19"/>
        <v>12.181000000000001</v>
      </c>
      <c r="P77" s="36">
        <f t="shared" si="20"/>
        <v>3.0659999999999998</v>
      </c>
      <c r="Q77" s="36">
        <f t="shared" si="21"/>
        <v>5.9889999999999999</v>
      </c>
      <c r="R77" s="36">
        <f t="shared" si="22"/>
        <v>22.439</v>
      </c>
      <c r="S77" s="83"/>
      <c r="T77" s="36">
        <f t="shared" si="24"/>
        <v>59.213000000000001</v>
      </c>
      <c r="U77" s="36">
        <f t="shared" si="23"/>
        <v>43.674999999999997</v>
      </c>
    </row>
    <row r="78" spans="1:21" x14ac:dyDescent="0.2">
      <c r="A78" s="86">
        <v>1996</v>
      </c>
      <c r="B78" s="36">
        <v>0.27</v>
      </c>
      <c r="C78" s="36">
        <v>0.159</v>
      </c>
      <c r="D78" s="36">
        <v>0.14699999999999999</v>
      </c>
      <c r="E78" s="36">
        <v>0.22</v>
      </c>
      <c r="F78" s="36">
        <v>0.38</v>
      </c>
      <c r="G78" s="36">
        <v>0.15</v>
      </c>
      <c r="H78" s="36">
        <v>0.10299999999999999</v>
      </c>
      <c r="I78" s="36">
        <v>1.216</v>
      </c>
      <c r="J78" s="36">
        <v>18.888000000000002</v>
      </c>
      <c r="K78" s="36">
        <v>10.042999999999999</v>
      </c>
      <c r="L78" s="36">
        <v>1.2030000000000001</v>
      </c>
      <c r="M78" s="36">
        <v>0.52400000000000002</v>
      </c>
      <c r="N78" s="83"/>
      <c r="O78" s="36">
        <f t="shared" si="19"/>
        <v>0.57600000000000007</v>
      </c>
      <c r="P78" s="36">
        <f t="shared" si="20"/>
        <v>0.75</v>
      </c>
      <c r="Q78" s="36">
        <f t="shared" si="21"/>
        <v>20.207000000000001</v>
      </c>
      <c r="R78" s="36">
        <f t="shared" si="22"/>
        <v>11.77</v>
      </c>
      <c r="S78" s="83"/>
      <c r="T78" s="36">
        <f t="shared" si="24"/>
        <v>43.972000000000001</v>
      </c>
      <c r="U78" s="36">
        <f t="shared" si="23"/>
        <v>33.302999999999997</v>
      </c>
    </row>
    <row r="79" spans="1:21" x14ac:dyDescent="0.2">
      <c r="A79" s="86">
        <v>1997</v>
      </c>
      <c r="B79" s="36">
        <v>0.80500000000000005</v>
      </c>
      <c r="C79" s="36">
        <v>8.6999999999999994E-2</v>
      </c>
      <c r="D79" s="36">
        <v>1.2270000000000001</v>
      </c>
      <c r="E79" s="36">
        <v>1.7569999999999999</v>
      </c>
      <c r="F79" s="36">
        <v>1.1599999999999999</v>
      </c>
      <c r="G79" s="36">
        <v>1.43</v>
      </c>
      <c r="H79" s="36">
        <v>0.61899999999999999</v>
      </c>
      <c r="I79" s="36">
        <v>0.33500000000000002</v>
      </c>
      <c r="J79" s="36">
        <v>0.96799999999999997</v>
      </c>
      <c r="K79" s="36">
        <v>15.103999999999999</v>
      </c>
      <c r="L79" s="36">
        <v>2.2749999999999999</v>
      </c>
      <c r="M79" s="36">
        <v>1.643</v>
      </c>
      <c r="N79" s="83"/>
      <c r="O79" s="36">
        <f t="shared" si="19"/>
        <v>2.1190000000000002</v>
      </c>
      <c r="P79" s="36">
        <f t="shared" si="20"/>
        <v>4.3469999999999995</v>
      </c>
      <c r="Q79" s="36">
        <f t="shared" si="21"/>
        <v>1.9219999999999999</v>
      </c>
      <c r="R79" s="36">
        <f t="shared" si="22"/>
        <v>19.021999999999998</v>
      </c>
      <c r="S79" s="83"/>
      <c r="T79" s="36">
        <f t="shared" si="24"/>
        <v>20.157999999999998</v>
      </c>
      <c r="U79" s="36">
        <f t="shared" si="23"/>
        <v>27.409999999999997</v>
      </c>
    </row>
    <row r="80" spans="1:21" x14ac:dyDescent="0.2">
      <c r="A80" s="86">
        <v>1998</v>
      </c>
      <c r="B80" s="36">
        <v>0.34699999999999998</v>
      </c>
      <c r="C80" s="36">
        <v>0.58199999999999996</v>
      </c>
      <c r="D80" s="36">
        <v>3.6999999999999998E-2</v>
      </c>
      <c r="E80" s="36">
        <v>5.0999999999999997E-2</v>
      </c>
      <c r="F80" s="36">
        <v>0.996</v>
      </c>
      <c r="G80" s="36">
        <v>0.86399999999999999</v>
      </c>
      <c r="H80" s="36">
        <v>0.71799999999999997</v>
      </c>
      <c r="I80" s="36">
        <v>0.32200000000000001</v>
      </c>
      <c r="J80" s="36">
        <v>0.19900000000000001</v>
      </c>
      <c r="K80" s="36">
        <v>13.353999999999999</v>
      </c>
      <c r="L80" s="36">
        <v>4.9109999999999996</v>
      </c>
      <c r="M80" s="36">
        <v>1.1819999999999999</v>
      </c>
      <c r="N80" s="83"/>
      <c r="O80" s="36">
        <f t="shared" si="19"/>
        <v>0.96599999999999997</v>
      </c>
      <c r="P80" s="36">
        <f t="shared" si="20"/>
        <v>1.911</v>
      </c>
      <c r="Q80" s="36">
        <f t="shared" si="21"/>
        <v>1.2390000000000001</v>
      </c>
      <c r="R80" s="36">
        <f t="shared" si="22"/>
        <v>19.446999999999999</v>
      </c>
      <c r="S80" s="83"/>
      <c r="T80" s="36">
        <f t="shared" si="24"/>
        <v>23.138000000000002</v>
      </c>
      <c r="U80" s="36">
        <f t="shared" si="23"/>
        <v>23.562999999999999</v>
      </c>
    </row>
    <row r="81" spans="1:21" x14ac:dyDescent="0.2">
      <c r="A81" s="86">
        <v>1999</v>
      </c>
      <c r="B81" s="36">
        <v>3.1360000000000001</v>
      </c>
      <c r="C81" s="36">
        <v>0.66</v>
      </c>
      <c r="D81" s="36">
        <v>0.23</v>
      </c>
      <c r="E81" s="36">
        <v>0</v>
      </c>
      <c r="F81" s="36">
        <v>0</v>
      </c>
      <c r="G81" s="36">
        <v>0</v>
      </c>
      <c r="H81" s="36">
        <v>0</v>
      </c>
      <c r="I81" s="36">
        <v>0</v>
      </c>
      <c r="J81" s="36">
        <v>4.0819999999999999</v>
      </c>
      <c r="K81" s="36">
        <v>26.58</v>
      </c>
      <c r="L81" s="36">
        <v>2.9950000000000001</v>
      </c>
      <c r="M81" s="36">
        <v>3.5670000000000002</v>
      </c>
      <c r="N81" s="83"/>
      <c r="O81" s="36">
        <f t="shared" si="19"/>
        <v>4.0260000000000007</v>
      </c>
      <c r="P81" s="36">
        <f t="shared" si="20"/>
        <v>0</v>
      </c>
      <c r="Q81" s="36">
        <f t="shared" si="21"/>
        <v>4.0819999999999999</v>
      </c>
      <c r="R81" s="36">
        <f t="shared" si="22"/>
        <v>33.141999999999996</v>
      </c>
      <c r="S81" s="83"/>
      <c r="T81" s="36">
        <f t="shared" si="24"/>
        <v>27.555</v>
      </c>
      <c r="U81" s="36">
        <f t="shared" si="23"/>
        <v>41.25</v>
      </c>
    </row>
    <row r="82" spans="1:21" x14ac:dyDescent="0.2">
      <c r="A82" s="76">
        <v>2000</v>
      </c>
      <c r="B82" s="36">
        <v>0.186</v>
      </c>
      <c r="C82" s="36">
        <v>0.184</v>
      </c>
      <c r="D82" s="36">
        <v>0.56399999999999995</v>
      </c>
      <c r="E82" s="36">
        <v>0.114</v>
      </c>
      <c r="F82" s="36">
        <v>0.21199999999999999</v>
      </c>
      <c r="G82" s="36">
        <v>0.11</v>
      </c>
      <c r="H82" s="36">
        <v>0</v>
      </c>
      <c r="I82" s="36">
        <v>2.1000000000000001E-2</v>
      </c>
      <c r="J82" s="36">
        <v>3.2559999999999998</v>
      </c>
      <c r="K82" s="36">
        <v>26.478000000000002</v>
      </c>
      <c r="L82" s="36">
        <v>3.8420000000000001</v>
      </c>
      <c r="M82" s="36">
        <v>1.0009999999999999</v>
      </c>
      <c r="N82" s="83"/>
      <c r="O82" s="36">
        <f t="shared" si="19"/>
        <v>0.93399999999999994</v>
      </c>
      <c r="P82" s="36">
        <f t="shared" si="20"/>
        <v>0.436</v>
      </c>
      <c r="Q82" s="36">
        <f t="shared" si="21"/>
        <v>3.2769999999999997</v>
      </c>
      <c r="R82" s="36">
        <f t="shared" si="22"/>
        <v>31.321000000000002</v>
      </c>
      <c r="S82" s="83"/>
      <c r="T82" s="36">
        <f t="shared" si="24"/>
        <v>37.788999999999994</v>
      </c>
      <c r="U82" s="36">
        <f t="shared" si="23"/>
        <v>35.968000000000004</v>
      </c>
    </row>
    <row r="83" spans="1:21" x14ac:dyDescent="0.2">
      <c r="A83" s="82">
        <v>2001</v>
      </c>
      <c r="B83" s="36">
        <v>5.3369999999999997</v>
      </c>
      <c r="C83" s="36">
        <v>0.52100000000000002</v>
      </c>
      <c r="D83" s="36">
        <v>0.10100000000000001</v>
      </c>
      <c r="E83" s="36">
        <v>0.01</v>
      </c>
      <c r="F83" s="36">
        <v>0.48499999999999999</v>
      </c>
      <c r="G83" s="36">
        <v>0.26500000000000001</v>
      </c>
      <c r="H83" s="36">
        <v>2.992</v>
      </c>
      <c r="I83" s="36">
        <v>20.634</v>
      </c>
      <c r="J83" s="36">
        <v>3.4470000000000001</v>
      </c>
      <c r="K83" s="36">
        <v>6.4669999999999996</v>
      </c>
      <c r="L83" s="36">
        <v>9.7490000000000006</v>
      </c>
      <c r="M83" s="36">
        <v>8.1210000000000004</v>
      </c>
      <c r="N83" s="83"/>
      <c r="O83" s="36">
        <f t="shared" si="19"/>
        <v>5.9589999999999996</v>
      </c>
      <c r="P83" s="36">
        <f t="shared" si="20"/>
        <v>0.76</v>
      </c>
      <c r="Q83" s="36">
        <f t="shared" si="21"/>
        <v>27.073</v>
      </c>
      <c r="R83" s="36">
        <f t="shared" si="22"/>
        <v>24.337000000000003</v>
      </c>
      <c r="S83" s="83"/>
      <c r="T83" s="36">
        <f t="shared" si="24"/>
        <v>65.113</v>
      </c>
      <c r="U83" s="36">
        <f t="shared" si="23"/>
        <v>58.129000000000005</v>
      </c>
    </row>
    <row r="84" spans="1:21" x14ac:dyDescent="0.2">
      <c r="A84" s="84">
        <v>2002</v>
      </c>
      <c r="B84" s="36">
        <v>2.8439999999999999</v>
      </c>
      <c r="C84" s="36">
        <v>1.377</v>
      </c>
      <c r="D84" s="36">
        <v>3.6850000000000001</v>
      </c>
      <c r="E84" s="36">
        <v>6.9039999999999999</v>
      </c>
      <c r="F84" s="36">
        <v>0.84799999999999998</v>
      </c>
      <c r="G84" s="36">
        <v>12.093999999999999</v>
      </c>
      <c r="H84" s="36">
        <v>3.2330000000000001</v>
      </c>
      <c r="I84" s="36">
        <v>6.399</v>
      </c>
      <c r="J84" s="36">
        <v>14.329000000000001</v>
      </c>
      <c r="K84" s="36">
        <v>36.069000000000003</v>
      </c>
      <c r="L84" s="36">
        <v>19.417000000000002</v>
      </c>
      <c r="M84" s="36">
        <v>2.254</v>
      </c>
      <c r="N84" s="83"/>
      <c r="O84" s="36">
        <f t="shared" si="19"/>
        <v>7.9060000000000006</v>
      </c>
      <c r="P84" s="36">
        <f t="shared" si="20"/>
        <v>19.846</v>
      </c>
      <c r="Q84" s="36">
        <f t="shared" si="21"/>
        <v>23.960999999999999</v>
      </c>
      <c r="R84" s="36">
        <f t="shared" si="22"/>
        <v>57.74</v>
      </c>
      <c r="S84" s="83"/>
      <c r="T84" s="36">
        <f t="shared" si="24"/>
        <v>76.05</v>
      </c>
      <c r="U84" s="36">
        <f t="shared" si="23"/>
        <v>109.453</v>
      </c>
    </row>
    <row r="85" spans="1:21" x14ac:dyDescent="0.2">
      <c r="A85" s="84">
        <v>2003</v>
      </c>
      <c r="B85" s="36">
        <v>2.6429999999999998</v>
      </c>
      <c r="C85" s="36">
        <v>1.242</v>
      </c>
      <c r="D85" s="36">
        <v>1.2350000000000001</v>
      </c>
      <c r="E85" s="36">
        <v>0.68100000000000005</v>
      </c>
      <c r="F85" s="36">
        <v>0.31900000000000001</v>
      </c>
      <c r="G85" s="36">
        <v>0.70499999999999996</v>
      </c>
      <c r="H85" s="36">
        <v>0.74399999999999999</v>
      </c>
      <c r="I85" s="36">
        <v>1.179</v>
      </c>
      <c r="J85" s="36">
        <v>4.4509999999999996</v>
      </c>
      <c r="K85" s="36">
        <v>25.236999999999998</v>
      </c>
      <c r="L85" s="36">
        <v>16.114999999999998</v>
      </c>
      <c r="M85" s="36">
        <v>5.3959999999999999</v>
      </c>
      <c r="N85" s="83"/>
      <c r="O85" s="36">
        <f t="shared" si="19"/>
        <v>5.12</v>
      </c>
      <c r="P85" s="36">
        <f t="shared" si="20"/>
        <v>1.7050000000000001</v>
      </c>
      <c r="Q85" s="36">
        <f t="shared" si="21"/>
        <v>6.3739999999999997</v>
      </c>
      <c r="R85" s="36">
        <f t="shared" si="22"/>
        <v>46.747999999999998</v>
      </c>
      <c r="S85" s="83"/>
      <c r="T85" s="36">
        <f t="shared" si="24"/>
        <v>70.938999999999993</v>
      </c>
      <c r="U85" s="36">
        <f t="shared" si="23"/>
        <v>59.946999999999996</v>
      </c>
    </row>
    <row r="86" spans="1:21" x14ac:dyDescent="0.2">
      <c r="A86" s="84">
        <v>2004</v>
      </c>
      <c r="B86" s="36">
        <v>1.421</v>
      </c>
      <c r="C86" s="36">
        <v>1.7010000000000001</v>
      </c>
      <c r="D86" s="36">
        <v>5.6470000000000002</v>
      </c>
      <c r="E86" s="36">
        <v>3.8170000000000002</v>
      </c>
      <c r="F86" s="36">
        <v>2.6989999999999998</v>
      </c>
      <c r="G86" s="36">
        <v>2.7549999999999999</v>
      </c>
      <c r="H86" s="36">
        <v>4.3529999999999998</v>
      </c>
      <c r="I86" s="36">
        <v>11.034000000000001</v>
      </c>
      <c r="J86" s="36">
        <v>3.552</v>
      </c>
      <c r="K86" s="36">
        <v>15.686</v>
      </c>
      <c r="L86" s="36">
        <v>10.584</v>
      </c>
      <c r="M86" s="36">
        <v>0.96399999999999997</v>
      </c>
      <c r="N86" s="83"/>
      <c r="O86" s="36">
        <f t="shared" si="19"/>
        <v>8.7690000000000001</v>
      </c>
      <c r="P86" s="36">
        <f t="shared" si="20"/>
        <v>9.2710000000000008</v>
      </c>
      <c r="Q86" s="36">
        <f t="shared" si="21"/>
        <v>18.939</v>
      </c>
      <c r="R86" s="36">
        <f t="shared" si="22"/>
        <v>27.233999999999998</v>
      </c>
      <c r="S86" s="83"/>
      <c r="T86" s="36">
        <f t="shared" si="24"/>
        <v>83.727000000000004</v>
      </c>
      <c r="U86" s="36">
        <f t="shared" si="23"/>
        <v>64.212999999999994</v>
      </c>
    </row>
    <row r="87" spans="1:21" x14ac:dyDescent="0.2">
      <c r="A87" s="84">
        <v>2005</v>
      </c>
      <c r="B87" s="36">
        <v>1.353</v>
      </c>
      <c r="C87" s="36">
        <v>1.4570000000000001</v>
      </c>
      <c r="D87" s="36">
        <v>12.917</v>
      </c>
      <c r="E87" s="36">
        <v>5.8630000000000004</v>
      </c>
      <c r="F87" s="36">
        <v>4.3179999999999996</v>
      </c>
      <c r="G87" s="36">
        <v>10.542</v>
      </c>
      <c r="H87" s="36">
        <v>1.8640000000000001</v>
      </c>
      <c r="I87" s="36">
        <v>5.95</v>
      </c>
      <c r="J87" s="36">
        <v>56.881</v>
      </c>
      <c r="K87" s="36">
        <v>17.245999999999999</v>
      </c>
      <c r="L87" s="36">
        <v>23.606000000000002</v>
      </c>
      <c r="M87" s="36">
        <v>55.104999999999997</v>
      </c>
      <c r="N87" s="83"/>
      <c r="O87" s="36">
        <f t="shared" si="19"/>
        <v>15.727</v>
      </c>
      <c r="P87" s="36">
        <f t="shared" si="20"/>
        <v>20.722999999999999</v>
      </c>
      <c r="Q87" s="36">
        <f t="shared" si="21"/>
        <v>64.694999999999993</v>
      </c>
      <c r="R87" s="36">
        <f t="shared" si="22"/>
        <v>95.956999999999994</v>
      </c>
      <c r="S87" s="83"/>
      <c r="T87" s="36">
        <f t="shared" si="24"/>
        <v>128.37899999999999</v>
      </c>
      <c r="U87" s="36">
        <f t="shared" si="23"/>
        <v>197.10199999999998</v>
      </c>
    </row>
    <row r="88" spans="1:21" x14ac:dyDescent="0.2">
      <c r="A88" s="84">
        <v>2006</v>
      </c>
      <c r="B88" s="36">
        <v>92.078000000000003</v>
      </c>
      <c r="C88" s="36">
        <v>6.4219999999999997</v>
      </c>
      <c r="D88" s="36">
        <v>103.866</v>
      </c>
      <c r="E88" s="36">
        <v>25.972000000000001</v>
      </c>
      <c r="F88" s="36">
        <v>28.954000000000001</v>
      </c>
      <c r="G88" s="36">
        <v>60.38</v>
      </c>
      <c r="H88" s="36">
        <v>70.736000000000004</v>
      </c>
      <c r="I88" s="36">
        <v>69.950999999999993</v>
      </c>
      <c r="J88" s="36">
        <v>60.84</v>
      </c>
      <c r="K88" s="36">
        <v>31.545999999999999</v>
      </c>
      <c r="L88" s="36">
        <v>21.565000000000001</v>
      </c>
      <c r="M88" s="36">
        <v>4.5430000000000001</v>
      </c>
      <c r="N88" s="83"/>
      <c r="O88" s="36">
        <f t="shared" si="19"/>
        <v>202.36599999999999</v>
      </c>
      <c r="P88" s="36">
        <f t="shared" si="20"/>
        <v>115.30600000000001</v>
      </c>
      <c r="Q88" s="36">
        <f t="shared" si="21"/>
        <v>201.52700000000002</v>
      </c>
      <c r="R88" s="36">
        <f t="shared" si="22"/>
        <v>57.654000000000003</v>
      </c>
      <c r="S88" s="83"/>
      <c r="T88" s="36">
        <f t="shared" si="24"/>
        <v>615.15600000000006</v>
      </c>
      <c r="U88" s="36">
        <f t="shared" si="23"/>
        <v>576.85300000000007</v>
      </c>
    </row>
    <row r="89" spans="1:21" x14ac:dyDescent="0.2">
      <c r="A89" s="84">
        <v>2007</v>
      </c>
      <c r="B89" s="36">
        <v>16.356999999999999</v>
      </c>
      <c r="C89" s="36">
        <v>22.12</v>
      </c>
      <c r="D89" s="36">
        <v>4.4059999999999997</v>
      </c>
      <c r="E89" s="36">
        <v>14.689</v>
      </c>
      <c r="F89" s="36">
        <v>21.881</v>
      </c>
      <c r="G89" s="36">
        <v>3.7829999999999999</v>
      </c>
      <c r="H89" s="36">
        <v>21.367000000000001</v>
      </c>
      <c r="I89" s="36">
        <v>13.191000000000001</v>
      </c>
      <c r="J89" s="36">
        <v>18.68</v>
      </c>
      <c r="K89" s="36">
        <v>-3.7690000000000001</v>
      </c>
      <c r="L89" s="36">
        <v>-5.2670000000000003</v>
      </c>
      <c r="M89" s="36">
        <v>-11.154</v>
      </c>
      <c r="N89" s="83"/>
      <c r="O89" s="36">
        <f t="shared" si="19"/>
        <v>42.883000000000003</v>
      </c>
      <c r="P89" s="36">
        <f t="shared" si="20"/>
        <v>40.353000000000002</v>
      </c>
      <c r="Q89" s="36">
        <f t="shared" si="21"/>
        <v>53.238</v>
      </c>
      <c r="R89" s="36">
        <f t="shared" si="22"/>
        <v>-20.190000000000001</v>
      </c>
      <c r="S89" s="83"/>
      <c r="T89" s="36">
        <f t="shared" si="24"/>
        <v>194.12800000000001</v>
      </c>
      <c r="U89" s="36">
        <f t="shared" si="23"/>
        <v>116.28399999999999</v>
      </c>
    </row>
    <row r="90" spans="1:21" x14ac:dyDescent="0.2">
      <c r="A90" s="84">
        <v>2008</v>
      </c>
      <c r="B90" s="36">
        <v>-20.576000000000001</v>
      </c>
      <c r="C90" s="36">
        <v>35.070999999999998</v>
      </c>
      <c r="D90" s="36">
        <v>47.619</v>
      </c>
      <c r="E90" s="36">
        <v>125.685</v>
      </c>
      <c r="F90" s="36">
        <v>50.942</v>
      </c>
      <c r="G90" s="36">
        <v>-22.649000000000001</v>
      </c>
      <c r="H90" s="36">
        <v>43.204999999999998</v>
      </c>
      <c r="I90" s="36">
        <v>64.513000000000005</v>
      </c>
      <c r="J90" s="36">
        <v>110.819</v>
      </c>
      <c r="K90" s="36">
        <v>210.18600000000001</v>
      </c>
      <c r="L90" s="36">
        <v>86.802999999999997</v>
      </c>
      <c r="M90" s="36">
        <v>41.863</v>
      </c>
      <c r="N90" s="83"/>
      <c r="O90" s="36">
        <f t="shared" si="19"/>
        <v>62.113999999999997</v>
      </c>
      <c r="P90" s="36">
        <f t="shared" si="20"/>
        <v>153.97800000000001</v>
      </c>
      <c r="Q90" s="36">
        <f t="shared" si="21"/>
        <v>218.53700000000001</v>
      </c>
      <c r="R90" s="36">
        <f t="shared" si="22"/>
        <v>338.85200000000003</v>
      </c>
      <c r="S90" s="83"/>
      <c r="T90" s="36">
        <f t="shared" si="24"/>
        <v>414.43899999999996</v>
      </c>
      <c r="U90" s="36">
        <f t="shared" si="23"/>
        <v>773.48099999999999</v>
      </c>
    </row>
    <row r="91" spans="1:21" x14ac:dyDescent="0.2">
      <c r="A91" s="76">
        <v>2009</v>
      </c>
      <c r="B91" s="36">
        <v>120.176</v>
      </c>
      <c r="C91" s="36">
        <v>-48.784999999999997</v>
      </c>
      <c r="D91" s="36">
        <v>122.61</v>
      </c>
      <c r="E91" s="36">
        <v>98.281999999999996</v>
      </c>
      <c r="F91" s="36">
        <v>108.999</v>
      </c>
      <c r="G91" s="36">
        <v>-7.1530000000000005</v>
      </c>
      <c r="H91" s="36">
        <v>78.320999999999998</v>
      </c>
      <c r="I91" s="36">
        <v>58.567</v>
      </c>
      <c r="J91" s="36">
        <v>-68.849000000000004</v>
      </c>
      <c r="K91" s="36">
        <v>73.37</v>
      </c>
      <c r="L91" s="36">
        <v>67.688999999999993</v>
      </c>
      <c r="M91" s="36">
        <v>63.737000000000002</v>
      </c>
      <c r="N91" s="83"/>
      <c r="O91" s="36">
        <f t="shared" si="19"/>
        <v>194.001</v>
      </c>
      <c r="P91" s="36">
        <f t="shared" si="20"/>
        <v>200.12800000000001</v>
      </c>
      <c r="Q91" s="36">
        <f t="shared" si="21"/>
        <v>68.039000000000001</v>
      </c>
      <c r="R91" s="36">
        <f t="shared" si="22"/>
        <v>204.79599999999999</v>
      </c>
      <c r="S91" s="83"/>
      <c r="T91" s="36">
        <f t="shared" si="24"/>
        <v>801.0200000000001</v>
      </c>
      <c r="U91" s="36">
        <f t="shared" si="23"/>
        <v>666.96399999999994</v>
      </c>
    </row>
    <row r="92" spans="1:21" x14ac:dyDescent="0.2">
      <c r="A92" s="76">
        <v>2010</v>
      </c>
      <c r="B92" s="36">
        <v>47.593000000000004</v>
      </c>
      <c r="C92" s="36">
        <v>-13.275</v>
      </c>
      <c r="D92" s="36">
        <v>60.777999999999999</v>
      </c>
      <c r="E92" s="36">
        <v>68.798000000000002</v>
      </c>
      <c r="F92" s="36">
        <v>29.071999999999999</v>
      </c>
      <c r="G92" s="36">
        <v>54.975999999999999</v>
      </c>
      <c r="H92" s="36">
        <v>87.242000000000004</v>
      </c>
      <c r="I92" s="36">
        <v>88.325000000000003</v>
      </c>
      <c r="J92" s="36">
        <v>186.18600000000001</v>
      </c>
      <c r="K92" s="36">
        <v>41.600999999999999</v>
      </c>
      <c r="L92" s="36">
        <v>136.101</v>
      </c>
      <c r="M92" s="36">
        <v>55.168999999999997</v>
      </c>
      <c r="N92" s="83"/>
      <c r="O92" s="36">
        <f t="shared" si="19"/>
        <v>95.096000000000004</v>
      </c>
      <c r="P92" s="36">
        <f t="shared" si="20"/>
        <v>152.846</v>
      </c>
      <c r="Q92" s="36">
        <f t="shared" si="21"/>
        <v>361.75300000000004</v>
      </c>
      <c r="R92" s="36">
        <f t="shared" si="22"/>
        <v>232.87099999999998</v>
      </c>
      <c r="S92" s="83"/>
      <c r="T92" s="36">
        <f t="shared" si="24"/>
        <v>814.49099999999999</v>
      </c>
      <c r="U92" s="36">
        <f t="shared" si="23"/>
        <v>842.56600000000003</v>
      </c>
    </row>
    <row r="93" spans="1:21" x14ac:dyDescent="0.2">
      <c r="A93" s="76">
        <v>2011</v>
      </c>
      <c r="B93" s="36">
        <v>-41.481999999999999</v>
      </c>
      <c r="C93" s="36">
        <v>112.21299999999999</v>
      </c>
      <c r="D93" s="36">
        <v>90.700999999999993</v>
      </c>
      <c r="E93" s="36">
        <v>74.197999999999993</v>
      </c>
      <c r="F93" s="36">
        <v>112.74</v>
      </c>
      <c r="G93" s="36">
        <v>42.905000000000001</v>
      </c>
      <c r="H93" s="36">
        <v>125.306</v>
      </c>
      <c r="I93" s="36">
        <v>32.542999999999999</v>
      </c>
      <c r="J93" s="36">
        <v>201.62299999999999</v>
      </c>
      <c r="K93" s="36">
        <v>198.96600000000001</v>
      </c>
      <c r="L93" s="36">
        <v>-49.521999999999998</v>
      </c>
      <c r="M93" s="36">
        <v>94.355999999999995</v>
      </c>
      <c r="N93" s="83"/>
      <c r="O93" s="36">
        <f t="shared" si="19"/>
        <v>161.43199999999999</v>
      </c>
      <c r="P93" s="36">
        <f t="shared" si="20"/>
        <v>229.84299999999999</v>
      </c>
      <c r="Q93" s="36">
        <f t="shared" si="21"/>
        <v>359.47199999999998</v>
      </c>
      <c r="R93" s="36">
        <f t="shared" si="22"/>
        <v>243.8</v>
      </c>
      <c r="S93" s="83"/>
      <c r="T93" s="36">
        <f t="shared" si="24"/>
        <v>983.61799999999994</v>
      </c>
      <c r="U93" s="36">
        <f t="shared" si="23"/>
        <v>994.54700000000003</v>
      </c>
    </row>
    <row r="94" spans="1:21" x14ac:dyDescent="0.2">
      <c r="A94" s="76">
        <v>2012</v>
      </c>
      <c r="B94" s="36">
        <v>25.625</v>
      </c>
      <c r="C94" s="36">
        <v>91.653000000000006</v>
      </c>
      <c r="D94" s="36">
        <v>61.603999999999999</v>
      </c>
      <c r="E94" s="36">
        <v>52.857999999999997</v>
      </c>
      <c r="F94" s="36">
        <v>121.959</v>
      </c>
      <c r="G94" s="36">
        <v>157.589</v>
      </c>
      <c r="H94" s="36">
        <v>20.818999999999999</v>
      </c>
      <c r="I94" s="36">
        <v>73.090999999999994</v>
      </c>
      <c r="J94" s="36">
        <v>138.614</v>
      </c>
      <c r="K94" s="36">
        <v>80.204999999999998</v>
      </c>
      <c r="L94" s="36">
        <v>128.10400000000001</v>
      </c>
      <c r="M94" s="36">
        <v>24.457000000000001</v>
      </c>
      <c r="N94" s="83"/>
      <c r="O94" s="36">
        <f t="shared" si="19"/>
        <v>178.88200000000001</v>
      </c>
      <c r="P94" s="36">
        <f t="shared" si="20"/>
        <v>332.40600000000001</v>
      </c>
      <c r="Q94" s="36">
        <f t="shared" si="21"/>
        <v>232.524</v>
      </c>
      <c r="R94" s="36">
        <f t="shared" si="22"/>
        <v>232.76600000000002</v>
      </c>
      <c r="S94" s="83"/>
      <c r="T94" s="36">
        <f t="shared" si="24"/>
        <v>987.61199999999997</v>
      </c>
      <c r="U94" s="36">
        <f t="shared" si="23"/>
        <v>976.57799999999997</v>
      </c>
    </row>
    <row r="95" spans="1:21" x14ac:dyDescent="0.2">
      <c r="A95" s="76">
        <v>2013</v>
      </c>
      <c r="B95" s="36">
        <v>63.442</v>
      </c>
      <c r="C95" s="36">
        <v>96.751999999999995</v>
      </c>
      <c r="D95" s="36">
        <v>12.973000000000001</v>
      </c>
      <c r="E95" s="36">
        <v>84.138999999999996</v>
      </c>
      <c r="F95" s="36">
        <v>81.787999999999997</v>
      </c>
      <c r="G95" s="36">
        <v>102.146</v>
      </c>
      <c r="H95" s="36">
        <v>97.498999999999995</v>
      </c>
      <c r="I95" s="36">
        <v>24.704000000000001</v>
      </c>
      <c r="J95" s="36">
        <v>131.876</v>
      </c>
      <c r="K95" s="36">
        <v>3.0489999999999999</v>
      </c>
      <c r="L95" s="36">
        <v>174.114</v>
      </c>
      <c r="M95" s="36">
        <v>76.209000000000003</v>
      </c>
      <c r="N95" s="83"/>
      <c r="O95" s="36">
        <f t="shared" si="19"/>
        <v>173.167</v>
      </c>
      <c r="P95" s="36">
        <f t="shared" si="20"/>
        <v>268.07299999999998</v>
      </c>
      <c r="Q95" s="36">
        <f t="shared" si="21"/>
        <v>254.07900000000001</v>
      </c>
      <c r="R95" s="36">
        <f t="shared" si="22"/>
        <v>253.37200000000001</v>
      </c>
      <c r="S95" s="83"/>
      <c r="T95" s="36">
        <f t="shared" si="24"/>
        <v>928.08500000000004</v>
      </c>
      <c r="U95" s="36">
        <f t="shared" si="23"/>
        <v>948.69100000000003</v>
      </c>
    </row>
    <row r="96" spans="1:21" x14ac:dyDescent="0.2">
      <c r="A96" s="76">
        <v>2014</v>
      </c>
      <c r="B96" s="36">
        <v>54.811999999999998</v>
      </c>
      <c r="C96" s="36">
        <v>43.92</v>
      </c>
      <c r="D96" s="36">
        <v>21.486999999999998</v>
      </c>
      <c r="E96" s="36">
        <v>164.821</v>
      </c>
      <c r="F96" s="36">
        <v>95.771000000000001</v>
      </c>
      <c r="G96" s="36">
        <v>14.898</v>
      </c>
      <c r="H96" s="36">
        <v>160.524</v>
      </c>
      <c r="I96" s="36">
        <v>63.929000000000002</v>
      </c>
      <c r="J96" s="36">
        <v>133.57300000000001</v>
      </c>
      <c r="K96" s="36">
        <v>10.997999999999999</v>
      </c>
      <c r="L96" s="36">
        <v>18.670999999999999</v>
      </c>
      <c r="M96" s="36">
        <v>12.726000000000001</v>
      </c>
      <c r="N96" s="83"/>
      <c r="O96" s="36">
        <f t="shared" si="19"/>
        <v>120.21899999999999</v>
      </c>
      <c r="P96" s="36">
        <f t="shared" si="20"/>
        <v>275.49</v>
      </c>
      <c r="Q96" s="36">
        <f t="shared" si="21"/>
        <v>358.02600000000001</v>
      </c>
      <c r="R96" s="36">
        <f t="shared" si="22"/>
        <v>42.394999999999996</v>
      </c>
      <c r="S96" s="83"/>
      <c r="T96" s="36">
        <f t="shared" si="24"/>
        <v>1007.107</v>
      </c>
      <c r="U96" s="36">
        <f t="shared" si="23"/>
        <v>796.13</v>
      </c>
    </row>
    <row r="97" spans="1:21" x14ac:dyDescent="0.2">
      <c r="A97" s="76">
        <v>2015</v>
      </c>
      <c r="B97" s="36">
        <v>128.245</v>
      </c>
      <c r="C97" s="36">
        <v>-9.0229999999999997</v>
      </c>
      <c r="D97" s="36">
        <v>105.36799999999999</v>
      </c>
      <c r="E97" s="36">
        <v>51.853000000000002</v>
      </c>
      <c r="F97" s="36">
        <v>59.357999999999997</v>
      </c>
      <c r="G97" s="36">
        <v>169.38399999999999</v>
      </c>
      <c r="H97" s="36">
        <v>189.83699999999999</v>
      </c>
      <c r="I97" s="36">
        <v>90.974999999999994</v>
      </c>
      <c r="J97" s="36">
        <v>121.286</v>
      </c>
      <c r="K97" s="36">
        <v>59.036999999999999</v>
      </c>
      <c r="L97" s="36">
        <v>-26.989000000000001</v>
      </c>
      <c r="M97" s="36">
        <v>94.686999999999998</v>
      </c>
      <c r="N97" s="83"/>
      <c r="O97" s="36">
        <f t="shared" si="19"/>
        <v>224.59</v>
      </c>
      <c r="P97" s="36">
        <f t="shared" si="20"/>
        <v>280.59499999999997</v>
      </c>
      <c r="Q97" s="36">
        <f t="shared" si="21"/>
        <v>402.09800000000001</v>
      </c>
      <c r="R97" s="36">
        <f t="shared" si="22"/>
        <v>126.735</v>
      </c>
      <c r="S97" s="83"/>
      <c r="T97" s="36">
        <f t="shared" si="24"/>
        <v>949.67799999999988</v>
      </c>
      <c r="U97" s="36">
        <f t="shared" si="23"/>
        <v>1034.0179999999998</v>
      </c>
    </row>
    <row r="98" spans="1:21" x14ac:dyDescent="0.2">
      <c r="A98" s="76">
        <v>2016</v>
      </c>
      <c r="B98" s="36">
        <v>104.06100000000001</v>
      </c>
      <c r="C98" s="36">
        <v>38.302</v>
      </c>
      <c r="D98" s="36">
        <v>156.05799999999999</v>
      </c>
      <c r="E98" s="36">
        <v>72.629000000000005</v>
      </c>
      <c r="F98" s="36">
        <v>58.863999999999997</v>
      </c>
      <c r="G98" s="36">
        <v>-10.414999999999999</v>
      </c>
      <c r="H98" s="36">
        <v>171.63200000000001</v>
      </c>
      <c r="I98" s="36">
        <v>44.494999999999997</v>
      </c>
      <c r="J98" s="36">
        <v>76.715999999999994</v>
      </c>
      <c r="K98" s="36">
        <v>23.347000000000001</v>
      </c>
      <c r="L98" s="36">
        <v>103.357</v>
      </c>
      <c r="M98" s="36">
        <v>81.510000000000005</v>
      </c>
      <c r="N98" s="83"/>
      <c r="O98" s="36">
        <f t="shared" si="19"/>
        <v>298.42099999999999</v>
      </c>
      <c r="P98" s="36">
        <f t="shared" si="20"/>
        <v>121.078</v>
      </c>
      <c r="Q98" s="36">
        <f t="shared" si="21"/>
        <v>292.84300000000002</v>
      </c>
      <c r="R98" s="36">
        <f t="shared" si="22"/>
        <v>208.214</v>
      </c>
      <c r="S98" s="83"/>
      <c r="T98" s="36">
        <f t="shared" si="24"/>
        <v>839.077</v>
      </c>
      <c r="U98" s="36">
        <f t="shared" si="23"/>
        <v>920.55600000000004</v>
      </c>
    </row>
    <row r="99" spans="1:21" x14ac:dyDescent="0.2">
      <c r="A99" s="76">
        <v>2017</v>
      </c>
      <c r="B99" s="36">
        <v>-2.516</v>
      </c>
      <c r="C99" s="36">
        <v>80.825000000000003</v>
      </c>
      <c r="D99" s="36">
        <v>15.292999999999999</v>
      </c>
      <c r="E99" s="36">
        <v>153.45599999999999</v>
      </c>
      <c r="F99" s="36">
        <v>49.845999999999997</v>
      </c>
      <c r="G99" s="36">
        <v>13.622999999999999</v>
      </c>
      <c r="H99" s="36">
        <v>89.055000000000007</v>
      </c>
      <c r="I99" s="36">
        <v>81.915000000000006</v>
      </c>
      <c r="J99" s="36">
        <v>20.123999999999999</v>
      </c>
      <c r="K99" s="36">
        <v>117.39700000000001</v>
      </c>
      <c r="L99" s="36">
        <v>-33.545000000000002</v>
      </c>
      <c r="M99" s="36">
        <v>96.072999999999993</v>
      </c>
      <c r="N99" s="83"/>
      <c r="O99" s="36">
        <f t="shared" si="19"/>
        <v>93.602000000000004</v>
      </c>
      <c r="P99" s="36">
        <f t="shared" si="20"/>
        <v>216.92499999999998</v>
      </c>
      <c r="Q99" s="36">
        <f t="shared" si="21"/>
        <v>191.09400000000002</v>
      </c>
      <c r="R99" s="36">
        <f t="shared" si="22"/>
        <v>179.92500000000001</v>
      </c>
      <c r="S99" s="83"/>
      <c r="T99" s="36">
        <f t="shared" si="24"/>
        <v>709.83500000000004</v>
      </c>
      <c r="U99" s="36">
        <f t="shared" si="23"/>
        <v>681.54600000000005</v>
      </c>
    </row>
    <row r="100" spans="1:21" x14ac:dyDescent="0.2">
      <c r="A100" s="76">
        <v>2018</v>
      </c>
      <c r="B100" s="36">
        <v>137.27799999999999</v>
      </c>
      <c r="C100" s="36">
        <v>-92.438999999999993</v>
      </c>
      <c r="D100" s="36">
        <v>117.96599999999999</v>
      </c>
      <c r="E100" s="36">
        <v>30.989000000000001</v>
      </c>
      <c r="F100" s="36">
        <v>63.832999999999998</v>
      </c>
      <c r="G100" s="36">
        <v>11.89</v>
      </c>
      <c r="H100" s="36">
        <v>141.339</v>
      </c>
      <c r="I100" s="36">
        <v>-19.556999999999999</v>
      </c>
      <c r="J100" s="36">
        <v>93.156999999999996</v>
      </c>
      <c r="K100" s="36">
        <v>89.194999999999993</v>
      </c>
      <c r="L100" s="36">
        <v>89.11</v>
      </c>
      <c r="M100" s="36">
        <v>42.639000000000003</v>
      </c>
      <c r="N100" s="83"/>
      <c r="O100" s="36">
        <f t="shared" si="19"/>
        <v>162.80500000000001</v>
      </c>
      <c r="P100" s="36">
        <f t="shared" si="20"/>
        <v>106.712</v>
      </c>
      <c r="Q100" s="36">
        <f t="shared" si="21"/>
        <v>214.93899999999999</v>
      </c>
      <c r="R100" s="36">
        <f t="shared" si="22"/>
        <v>220.94400000000002</v>
      </c>
      <c r="S100" s="83"/>
      <c r="T100" s="36">
        <f t="shared" si="24"/>
        <v>664.38099999999997</v>
      </c>
      <c r="U100" s="36">
        <f t="shared" si="23"/>
        <v>705.40000000000009</v>
      </c>
    </row>
    <row r="101" spans="1:21" x14ac:dyDescent="0.2">
      <c r="A101" s="76">
        <v>2019</v>
      </c>
      <c r="B101" s="36">
        <v>43.713999999999999</v>
      </c>
      <c r="C101" s="36">
        <v>58.701000000000001</v>
      </c>
      <c r="D101" s="36">
        <v>61.058</v>
      </c>
      <c r="E101" s="36">
        <v>119.64100000000001</v>
      </c>
      <c r="F101" s="36">
        <v>-17.001000000000001</v>
      </c>
      <c r="G101" s="36">
        <v>55.591999999999999</v>
      </c>
      <c r="H101" s="36">
        <v>89.963999999999999</v>
      </c>
      <c r="I101" s="89">
        <v>66.587999999999994</v>
      </c>
      <c r="J101" s="99">
        <v>60.35</v>
      </c>
      <c r="K101" s="36">
        <v>144.821</v>
      </c>
      <c r="L101" s="36">
        <v>41.796999999999997</v>
      </c>
      <c r="M101" s="36">
        <v>-80.099999999999994</v>
      </c>
      <c r="N101" s="83"/>
      <c r="O101" s="36">
        <f t="shared" si="19"/>
        <v>163.47299999999998</v>
      </c>
      <c r="P101" s="36">
        <f t="shared" si="20"/>
        <v>158.232</v>
      </c>
      <c r="Q101" s="36">
        <f t="shared" si="21"/>
        <v>216.90199999999999</v>
      </c>
      <c r="R101" s="36">
        <f t="shared" si="22"/>
        <v>106.518</v>
      </c>
      <c r="S101" s="83"/>
      <c r="T101" s="36">
        <f t="shared" si="24"/>
        <v>759.55099999999993</v>
      </c>
      <c r="U101" s="36">
        <f t="shared" si="23"/>
        <v>645.125</v>
      </c>
    </row>
    <row r="102" spans="1:21" x14ac:dyDescent="0.2">
      <c r="A102" s="76">
        <v>2020</v>
      </c>
      <c r="B102" s="36">
        <v>135.77199999999999</v>
      </c>
      <c r="C102" s="36">
        <v>76.314999999999998</v>
      </c>
      <c r="D102" s="36">
        <v>122.008</v>
      </c>
      <c r="E102" s="36">
        <v>259.613</v>
      </c>
      <c r="F102" s="36">
        <v>66.662000000000006</v>
      </c>
      <c r="G102" s="36">
        <v>75.244</v>
      </c>
      <c r="H102" s="36">
        <v>98.823999999999998</v>
      </c>
      <c r="I102" s="36">
        <v>90.555999999999997</v>
      </c>
      <c r="J102" s="36">
        <v>181.15799999999999</v>
      </c>
      <c r="K102" s="36">
        <v>77.311000000000007</v>
      </c>
      <c r="L102" s="36">
        <v>19.89</v>
      </c>
      <c r="M102" s="36">
        <v>-2.0830000000000002</v>
      </c>
      <c r="N102" s="37"/>
      <c r="O102" s="36">
        <f t="shared" si="19"/>
        <v>334.09499999999997</v>
      </c>
      <c r="P102" s="36">
        <f t="shared" si="20"/>
        <v>401.51900000000001</v>
      </c>
      <c r="Q102" s="36">
        <f t="shared" si="21"/>
        <v>370.53800000000001</v>
      </c>
      <c r="R102" s="36">
        <f t="shared" si="22"/>
        <v>95.118000000000009</v>
      </c>
      <c r="S102" s="83"/>
      <c r="T102" s="36">
        <f t="shared" si="24"/>
        <v>1212.67</v>
      </c>
      <c r="U102" s="36">
        <f t="shared" si="23"/>
        <v>1201.27</v>
      </c>
    </row>
    <row r="103" spans="1:21" x14ac:dyDescent="0.2">
      <c r="A103" s="76">
        <v>2021</v>
      </c>
      <c r="B103" s="36">
        <v>69.472999999999999</v>
      </c>
      <c r="C103" s="36">
        <v>118.07599999999999</v>
      </c>
      <c r="D103" s="36">
        <v>53.62</v>
      </c>
      <c r="E103" s="36">
        <v>143.66800000000001</v>
      </c>
      <c r="F103" s="36">
        <v>128.81299999999999</v>
      </c>
      <c r="G103" s="36">
        <v>61.423999999999999</v>
      </c>
      <c r="H103" s="36">
        <v>174.41800000000001</v>
      </c>
      <c r="I103" s="36">
        <v>33.808</v>
      </c>
      <c r="J103" s="36">
        <v>51.823</v>
      </c>
      <c r="K103" s="38">
        <v>182.08500000000001</v>
      </c>
      <c r="L103" s="38">
        <v>26.363</v>
      </c>
      <c r="M103" s="38">
        <v>103.036</v>
      </c>
      <c r="N103" s="37"/>
      <c r="O103" s="36">
        <f t="shared" si="19"/>
        <v>241.16899999999998</v>
      </c>
      <c r="P103" s="36">
        <f t="shared" si="20"/>
        <v>333.90499999999997</v>
      </c>
      <c r="Q103" s="36">
        <f t="shared" si="21"/>
        <v>260.04899999999998</v>
      </c>
      <c r="R103" s="36">
        <f t="shared" si="22"/>
        <v>311.48400000000004</v>
      </c>
      <c r="S103" s="83"/>
      <c r="T103" s="36">
        <f>R102+O103+P103+Q103</f>
        <v>930.24099999999999</v>
      </c>
      <c r="U103" s="36">
        <f t="shared" si="23"/>
        <v>1146.607</v>
      </c>
    </row>
    <row r="104" spans="1:21" x14ac:dyDescent="0.2">
      <c r="A104" s="76">
        <v>2022</v>
      </c>
      <c r="B104" s="36">
        <v>6.35</v>
      </c>
      <c r="C104" s="38">
        <v>109.52500000000001</v>
      </c>
      <c r="D104" s="38">
        <v>22.504999999999999</v>
      </c>
      <c r="E104" s="38">
        <v>101.221</v>
      </c>
      <c r="F104" s="38">
        <v>60.808</v>
      </c>
      <c r="G104" s="38">
        <v>51.384999999999998</v>
      </c>
      <c r="H104" s="38">
        <v>31.381</v>
      </c>
      <c r="I104" s="38">
        <v>96.290999999999997</v>
      </c>
      <c r="J104" s="38">
        <v>4.0149999999999997</v>
      </c>
      <c r="K104" s="38">
        <v>145.29400000000001</v>
      </c>
      <c r="L104" s="38">
        <v>-36.65</v>
      </c>
      <c r="M104" s="38">
        <v>87.278999999999996</v>
      </c>
      <c r="N104" s="83"/>
      <c r="O104" s="36">
        <f t="shared" si="19"/>
        <v>138.38</v>
      </c>
      <c r="P104" s="36">
        <f t="shared" si="20"/>
        <v>213.41399999999999</v>
      </c>
      <c r="Q104" s="36">
        <f t="shared" si="21"/>
        <v>131.68699999999998</v>
      </c>
      <c r="R104" s="36">
        <f t="shared" si="22"/>
        <v>195.923</v>
      </c>
      <c r="S104" s="83"/>
      <c r="T104" s="36">
        <f>R103+O104+P104+Q104</f>
        <v>794.96500000000003</v>
      </c>
      <c r="U104" s="36">
        <f t="shared" si="23"/>
        <v>679.404</v>
      </c>
    </row>
    <row r="105" spans="1:21" x14ac:dyDescent="0.2">
      <c r="A105" s="76">
        <v>2023</v>
      </c>
      <c r="B105" s="36">
        <v>106.95699999999999</v>
      </c>
      <c r="C105" s="38">
        <v>101.349</v>
      </c>
      <c r="D105" s="38">
        <v>83.947999999999993</v>
      </c>
      <c r="E105" s="38">
        <v>125.315</v>
      </c>
      <c r="F105" s="38">
        <v>51.481999999999999</v>
      </c>
      <c r="G105" s="38">
        <v>79.198999999999998</v>
      </c>
      <c r="H105" s="38">
        <v>9.8420000000000005</v>
      </c>
      <c r="I105" s="38">
        <v>71.635999999999996</v>
      </c>
      <c r="J105" s="38">
        <v>113.32299999999999</v>
      </c>
      <c r="K105" s="38">
        <v>56.143000000000001</v>
      </c>
      <c r="L105" s="38">
        <v>-16.614999999999998</v>
      </c>
      <c r="M105" s="38">
        <v>16.529</v>
      </c>
      <c r="N105" s="83"/>
      <c r="O105" s="36">
        <f t="shared" si="19"/>
        <v>292.25399999999996</v>
      </c>
      <c r="P105" s="36">
        <f t="shared" si="20"/>
        <v>255.99599999999998</v>
      </c>
      <c r="Q105" s="36">
        <f t="shared" si="21"/>
        <v>194.80099999999999</v>
      </c>
      <c r="R105" s="36">
        <f t="shared" ref="R105" si="25">SUM(K105:M105)</f>
        <v>56.057000000000002</v>
      </c>
      <c r="S105" s="83"/>
      <c r="T105" s="36">
        <f>R104+O105+P105+Q105</f>
        <v>938.97399999999993</v>
      </c>
      <c r="U105" s="36">
        <f t="shared" ref="U105" si="26">SUM(O105:R105)</f>
        <v>799.10799999999995</v>
      </c>
    </row>
    <row r="106" spans="1:21" x14ac:dyDescent="0.2">
      <c r="A106" s="76">
        <v>2024</v>
      </c>
      <c r="B106" s="36">
        <v>147.417</v>
      </c>
      <c r="C106" s="38">
        <v>16.303000000000001</v>
      </c>
      <c r="D106" s="38">
        <v>37.636000000000003</v>
      </c>
      <c r="E106" s="38">
        <v>137.25</v>
      </c>
      <c r="F106" s="38">
        <v>69.686000000000007</v>
      </c>
      <c r="G106" s="38">
        <v>-88.057000000000002</v>
      </c>
      <c r="H106" s="38">
        <v>113.907</v>
      </c>
      <c r="I106" s="38">
        <v>55.865000000000002</v>
      </c>
      <c r="J106" s="38">
        <v>202.68700000000001</v>
      </c>
      <c r="K106" s="38">
        <v>-39.067999999999998</v>
      </c>
      <c r="L106" s="38">
        <v>38.646999999999998</v>
      </c>
      <c r="M106" s="38" t="s">
        <v>152</v>
      </c>
      <c r="N106" s="83"/>
      <c r="O106" s="36">
        <f t="shared" si="19"/>
        <v>201.35599999999999</v>
      </c>
      <c r="P106" s="36">
        <f t="shared" si="20"/>
        <v>118.879</v>
      </c>
      <c r="Q106" s="36">
        <f t="shared" si="21"/>
        <v>372.459</v>
      </c>
      <c r="R106" s="38" t="s">
        <v>152</v>
      </c>
      <c r="S106" s="83"/>
      <c r="T106" s="36">
        <f>R105+O106+P106+Q106</f>
        <v>748.75099999999998</v>
      </c>
      <c r="U106" s="38" t="s">
        <v>152</v>
      </c>
    </row>
    <row r="107" spans="1:21" x14ac:dyDescent="0.2">
      <c r="A107" s="36" t="s">
        <v>353</v>
      </c>
      <c r="B107" s="37"/>
      <c r="C107" s="37"/>
      <c r="D107" s="37"/>
      <c r="E107" s="37"/>
      <c r="F107" s="37"/>
      <c r="G107" s="37"/>
      <c r="H107" s="37"/>
      <c r="I107" s="37"/>
      <c r="J107" s="37"/>
      <c r="K107" s="37"/>
      <c r="L107" s="37"/>
      <c r="M107" s="37"/>
      <c r="N107" s="83"/>
      <c r="O107" s="88"/>
      <c r="P107" s="88"/>
      <c r="Q107" s="36"/>
      <c r="R107" s="88"/>
      <c r="S107" s="83"/>
      <c r="T107" s="36"/>
      <c r="U107" s="36"/>
    </row>
    <row r="108" spans="1:21" x14ac:dyDescent="0.2">
      <c r="A108" s="76">
        <v>1992</v>
      </c>
      <c r="B108" s="36">
        <f t="shared" ref="B108:M108" si="27">B6+B40+B74</f>
        <v>630.56799999999998</v>
      </c>
      <c r="C108" s="36">
        <f t="shared" si="27"/>
        <v>629.30899999999997</v>
      </c>
      <c r="D108" s="36">
        <f t="shared" si="27"/>
        <v>724.67300000000012</v>
      </c>
      <c r="E108" s="36">
        <f t="shared" si="27"/>
        <v>720.15400000000011</v>
      </c>
      <c r="F108" s="36">
        <f t="shared" si="27"/>
        <v>660.15600000000006</v>
      </c>
      <c r="G108" s="36">
        <f t="shared" si="27"/>
        <v>798.04600000000005</v>
      </c>
      <c r="H108" s="36">
        <f t="shared" si="27"/>
        <v>762.71799999999996</v>
      </c>
      <c r="I108" s="36">
        <f t="shared" si="27"/>
        <v>781.78800000000001</v>
      </c>
      <c r="J108" s="36">
        <f t="shared" si="27"/>
        <v>845.846</v>
      </c>
      <c r="K108" s="36">
        <f t="shared" si="27"/>
        <v>827.90899999999999</v>
      </c>
      <c r="L108" s="36">
        <f t="shared" si="27"/>
        <v>735.52200000000005</v>
      </c>
      <c r="M108" s="36">
        <f t="shared" si="27"/>
        <v>709.58300000000008</v>
      </c>
      <c r="N108" s="83"/>
      <c r="O108" s="36">
        <f t="shared" ref="O108:O132" si="28">SUM(B108:D108)</f>
        <v>1984.5500000000002</v>
      </c>
      <c r="P108" s="36">
        <f t="shared" ref="P108:P117" si="29">SUM(E108:G108)</f>
        <v>2178.3560000000002</v>
      </c>
      <c r="Q108" s="36">
        <f t="shared" ref="Q108:Q118" si="30">SUM(H108:J108)</f>
        <v>2390.3519999999999</v>
      </c>
      <c r="R108" s="36">
        <f t="shared" ref="R108:R130" si="31">SUM(K108:M108)</f>
        <v>2273.0140000000001</v>
      </c>
      <c r="S108" s="83"/>
      <c r="T108" s="36">
        <f>T6+T40+T74</f>
        <v>8771.8159999999989</v>
      </c>
      <c r="U108" s="36">
        <f t="shared" ref="U108:U118" si="32">SUM(O108:R108)</f>
        <v>8826.2720000000008</v>
      </c>
    </row>
    <row r="109" spans="1:21" x14ac:dyDescent="0.2">
      <c r="A109" s="76">
        <v>1993</v>
      </c>
      <c r="B109" s="36">
        <f t="shared" ref="B109:M109" si="33">B7+B41+B75</f>
        <v>618.77099999999996</v>
      </c>
      <c r="C109" s="36">
        <f t="shared" si="33"/>
        <v>628.90899999999999</v>
      </c>
      <c r="D109" s="36">
        <f t="shared" si="33"/>
        <v>791.072</v>
      </c>
      <c r="E109" s="36">
        <f t="shared" si="33"/>
        <v>688.178</v>
      </c>
      <c r="F109" s="36">
        <f t="shared" si="33"/>
        <v>684.82399999999996</v>
      </c>
      <c r="G109" s="36">
        <f t="shared" si="33"/>
        <v>799.06099999999992</v>
      </c>
      <c r="H109" s="36">
        <f t="shared" si="33"/>
        <v>781.52799999999991</v>
      </c>
      <c r="I109" s="36">
        <f t="shared" si="33"/>
        <v>814.56100000000004</v>
      </c>
      <c r="J109" s="36">
        <f t="shared" si="33"/>
        <v>836.06200000000001</v>
      </c>
      <c r="K109" s="36">
        <f t="shared" si="33"/>
        <v>782.64400000000001</v>
      </c>
      <c r="L109" s="36">
        <f t="shared" si="33"/>
        <v>754.53099999999995</v>
      </c>
      <c r="M109" s="36">
        <f t="shared" si="33"/>
        <v>740.14300000000003</v>
      </c>
      <c r="N109" s="83"/>
      <c r="O109" s="36">
        <f t="shared" si="28"/>
        <v>2038.752</v>
      </c>
      <c r="P109" s="36">
        <f t="shared" si="29"/>
        <v>2172.0630000000001</v>
      </c>
      <c r="Q109" s="36">
        <f t="shared" si="30"/>
        <v>2432.1509999999998</v>
      </c>
      <c r="R109" s="36">
        <f t="shared" si="31"/>
        <v>2277.3180000000002</v>
      </c>
      <c r="S109" s="83"/>
      <c r="T109" s="36">
        <f>R108+O109+P109+Q109</f>
        <v>8915.98</v>
      </c>
      <c r="U109" s="36">
        <f t="shared" si="32"/>
        <v>8920.2839999999997</v>
      </c>
    </row>
    <row r="110" spans="1:21" x14ac:dyDescent="0.2">
      <c r="A110" s="76">
        <v>1994</v>
      </c>
      <c r="B110" s="36">
        <f t="shared" ref="B110:M110" si="34">B8+B42+B76</f>
        <v>648.94500000000005</v>
      </c>
      <c r="C110" s="36">
        <f t="shared" si="34"/>
        <v>673.93999999999994</v>
      </c>
      <c r="D110" s="36">
        <f t="shared" si="34"/>
        <v>798.13200000000006</v>
      </c>
      <c r="E110" s="36">
        <f t="shared" si="34"/>
        <v>665.47800000000007</v>
      </c>
      <c r="F110" s="36">
        <f t="shared" si="34"/>
        <v>742.16399999999999</v>
      </c>
      <c r="G110" s="36">
        <f t="shared" si="34"/>
        <v>857.24200000000008</v>
      </c>
      <c r="H110" s="36">
        <f t="shared" si="34"/>
        <v>776.00099999999998</v>
      </c>
      <c r="I110" s="36">
        <f t="shared" si="34"/>
        <v>838.04899999999998</v>
      </c>
      <c r="J110" s="36">
        <f t="shared" si="34"/>
        <v>917.57999999999993</v>
      </c>
      <c r="K110" s="36">
        <f t="shared" si="34"/>
        <v>791.62900000000002</v>
      </c>
      <c r="L110" s="36">
        <f t="shared" si="34"/>
        <v>754.0569999999999</v>
      </c>
      <c r="M110" s="36">
        <f t="shared" si="34"/>
        <v>714.08</v>
      </c>
      <c r="N110" s="83"/>
      <c r="O110" s="36">
        <f t="shared" si="28"/>
        <v>2121.0169999999998</v>
      </c>
      <c r="P110" s="36">
        <f t="shared" si="29"/>
        <v>2264.884</v>
      </c>
      <c r="Q110" s="36">
        <f t="shared" si="30"/>
        <v>2531.63</v>
      </c>
      <c r="R110" s="36">
        <f t="shared" si="31"/>
        <v>2259.7660000000001</v>
      </c>
      <c r="S110" s="83"/>
      <c r="T110" s="36">
        <f>R109+O110+P110+Q110</f>
        <v>9194.8490000000002</v>
      </c>
      <c r="U110" s="36">
        <f t="shared" si="32"/>
        <v>9177.2970000000005</v>
      </c>
    </row>
    <row r="111" spans="1:21" x14ac:dyDescent="0.2">
      <c r="A111" s="86">
        <v>1995</v>
      </c>
      <c r="B111" s="36">
        <f t="shared" ref="B111:M111" si="35">B9+B43+B77</f>
        <v>650.54500000000007</v>
      </c>
      <c r="C111" s="36">
        <f t="shared" si="35"/>
        <v>644.02</v>
      </c>
      <c r="D111" s="36">
        <f t="shared" si="35"/>
        <v>810.67600000000004</v>
      </c>
      <c r="E111" s="36">
        <f t="shared" si="35"/>
        <v>693.6</v>
      </c>
      <c r="F111" s="36">
        <f t="shared" si="35"/>
        <v>780.33199999999999</v>
      </c>
      <c r="G111" s="36">
        <f t="shared" si="35"/>
        <v>837.31600000000003</v>
      </c>
      <c r="H111" s="36">
        <f t="shared" si="35"/>
        <v>754.90200000000004</v>
      </c>
      <c r="I111" s="36">
        <f t="shared" si="35"/>
        <v>894.49300000000005</v>
      </c>
      <c r="J111" s="36">
        <f t="shared" si="35"/>
        <v>892.22400000000005</v>
      </c>
      <c r="K111" s="36">
        <f t="shared" si="35"/>
        <v>852.78300000000002</v>
      </c>
      <c r="L111" s="36">
        <f t="shared" si="35"/>
        <v>813.44899999999996</v>
      </c>
      <c r="M111" s="36">
        <f t="shared" si="35"/>
        <v>713.09799999999996</v>
      </c>
      <c r="N111" s="83"/>
      <c r="O111" s="36">
        <f t="shared" si="28"/>
        <v>2105.241</v>
      </c>
      <c r="P111" s="36">
        <f t="shared" si="29"/>
        <v>2311.248</v>
      </c>
      <c r="Q111" s="36">
        <f t="shared" si="30"/>
        <v>2541.6190000000001</v>
      </c>
      <c r="R111" s="36">
        <f t="shared" si="31"/>
        <v>2379.33</v>
      </c>
      <c r="S111" s="83"/>
      <c r="T111" s="36">
        <v>9218</v>
      </c>
      <c r="U111" s="36">
        <f t="shared" si="32"/>
        <v>9337.4380000000001</v>
      </c>
    </row>
    <row r="112" spans="1:21" x14ac:dyDescent="0.2">
      <c r="A112" s="86">
        <v>1996</v>
      </c>
      <c r="B112" s="36">
        <f t="shared" ref="B112:M112" si="36">B10+B44+B78</f>
        <v>669.68399999999997</v>
      </c>
      <c r="C112" s="36">
        <f t="shared" si="36"/>
        <v>717.69200000000001</v>
      </c>
      <c r="D112" s="36">
        <f t="shared" si="36"/>
        <v>803.58199999999999</v>
      </c>
      <c r="E112" s="36">
        <f t="shared" si="36"/>
        <v>769.06</v>
      </c>
      <c r="F112" s="36">
        <f t="shared" si="36"/>
        <v>789.70600000000002</v>
      </c>
      <c r="G112" s="36">
        <f t="shared" si="36"/>
        <v>796.37499999999989</v>
      </c>
      <c r="H112" s="36">
        <f t="shared" si="36"/>
        <v>812.72199999999998</v>
      </c>
      <c r="I112" s="36">
        <f t="shared" si="36"/>
        <v>823.49300000000005</v>
      </c>
      <c r="J112" s="36">
        <f t="shared" si="36"/>
        <v>883.245</v>
      </c>
      <c r="K112" s="36">
        <f t="shared" si="36"/>
        <v>890.90099999999995</v>
      </c>
      <c r="L112" s="36">
        <f t="shared" si="36"/>
        <v>815.78700000000003</v>
      </c>
      <c r="M112" s="36">
        <f t="shared" si="36"/>
        <v>723.78</v>
      </c>
      <c r="N112" s="83"/>
      <c r="O112" s="36">
        <f t="shared" si="28"/>
        <v>2190.9580000000001</v>
      </c>
      <c r="P112" s="36">
        <f t="shared" si="29"/>
        <v>2355.1410000000001</v>
      </c>
      <c r="Q112" s="36">
        <f t="shared" si="30"/>
        <v>2519.46</v>
      </c>
      <c r="R112" s="36">
        <f t="shared" si="31"/>
        <v>2430.4679999999998</v>
      </c>
      <c r="S112" s="83"/>
      <c r="T112" s="36">
        <f t="shared" ref="T112:T132" si="37">R111+O112+P112+Q112</f>
        <v>9444.8889999999992</v>
      </c>
      <c r="U112" s="36">
        <f t="shared" si="32"/>
        <v>9496.027</v>
      </c>
    </row>
    <row r="113" spans="1:22" x14ac:dyDescent="0.2">
      <c r="A113" s="86">
        <v>1997</v>
      </c>
      <c r="B113" s="36">
        <f t="shared" ref="B113:M113" si="38">B11+B45+B79</f>
        <v>678.49899999999991</v>
      </c>
      <c r="C113" s="36">
        <f t="shared" si="38"/>
        <v>667.56099999999992</v>
      </c>
      <c r="D113" s="36">
        <f t="shared" si="38"/>
        <v>796.95699999999999</v>
      </c>
      <c r="E113" s="36">
        <f t="shared" si="38"/>
        <v>758.15899999999999</v>
      </c>
      <c r="F113" s="36">
        <f t="shared" si="38"/>
        <v>800.95299999999997</v>
      </c>
      <c r="G113" s="36">
        <f t="shared" si="38"/>
        <v>841.49399999999991</v>
      </c>
      <c r="H113" s="36">
        <f t="shared" si="38"/>
        <v>813.07700000000011</v>
      </c>
      <c r="I113" s="36">
        <f t="shared" si="38"/>
        <v>849.1880000000001</v>
      </c>
      <c r="J113" s="36">
        <f t="shared" si="38"/>
        <v>928.43799999999999</v>
      </c>
      <c r="K113" s="36">
        <f t="shared" si="38"/>
        <v>915.35300000000007</v>
      </c>
      <c r="L113" s="36">
        <f t="shared" si="38"/>
        <v>778.13099999999997</v>
      </c>
      <c r="M113" s="36">
        <f t="shared" si="38"/>
        <v>749.80899999999997</v>
      </c>
      <c r="N113" s="83"/>
      <c r="O113" s="36">
        <f t="shared" si="28"/>
        <v>2143.0169999999998</v>
      </c>
      <c r="P113" s="36">
        <f t="shared" si="29"/>
        <v>2400.6059999999998</v>
      </c>
      <c r="Q113" s="36">
        <f t="shared" si="30"/>
        <v>2590.7030000000004</v>
      </c>
      <c r="R113" s="36">
        <f t="shared" si="31"/>
        <v>2443.2929999999997</v>
      </c>
      <c r="S113" s="83"/>
      <c r="T113" s="36">
        <f t="shared" si="37"/>
        <v>9564.7939999999999</v>
      </c>
      <c r="U113" s="36">
        <f t="shared" si="32"/>
        <v>9577.6189999999988</v>
      </c>
    </row>
    <row r="114" spans="1:22" ht="12" customHeight="1" x14ac:dyDescent="0.2">
      <c r="A114" s="86">
        <v>1998</v>
      </c>
      <c r="B114" s="36">
        <f t="shared" ref="B114:M114" si="39">B12+B46+B80</f>
        <v>693.58699999999999</v>
      </c>
      <c r="C114" s="36">
        <f t="shared" si="39"/>
        <v>707.42</v>
      </c>
      <c r="D114" s="36">
        <f t="shared" si="39"/>
        <v>831.87700000000007</v>
      </c>
      <c r="E114" s="36">
        <f t="shared" si="39"/>
        <v>773.65500000000009</v>
      </c>
      <c r="F114" s="36">
        <f t="shared" si="39"/>
        <v>771.67600000000004</v>
      </c>
      <c r="G114" s="36">
        <f t="shared" si="39"/>
        <v>882.63600000000008</v>
      </c>
      <c r="H114" s="36">
        <f t="shared" si="39"/>
        <v>826.37</v>
      </c>
      <c r="I114" s="36">
        <f t="shared" si="39"/>
        <v>826.30399999999997</v>
      </c>
      <c r="J114" s="36">
        <f t="shared" si="39"/>
        <v>914.99999999999989</v>
      </c>
      <c r="K114" s="36">
        <f t="shared" si="39"/>
        <v>891.56799999999998</v>
      </c>
      <c r="L114" s="36">
        <f t="shared" si="39"/>
        <v>805.62299999999993</v>
      </c>
      <c r="M114" s="36">
        <f t="shared" si="39"/>
        <v>760.3420000000001</v>
      </c>
      <c r="N114" s="83"/>
      <c r="O114" s="36">
        <f t="shared" si="28"/>
        <v>2232.884</v>
      </c>
      <c r="P114" s="36">
        <f t="shared" si="29"/>
        <v>2427.9670000000001</v>
      </c>
      <c r="Q114" s="36">
        <f t="shared" si="30"/>
        <v>2567.674</v>
      </c>
      <c r="R114" s="36">
        <f t="shared" si="31"/>
        <v>2457.5329999999999</v>
      </c>
      <c r="S114" s="83"/>
      <c r="T114" s="36">
        <f t="shared" si="37"/>
        <v>9671.8179999999993</v>
      </c>
      <c r="U114" s="36">
        <f t="shared" si="32"/>
        <v>9686.0580000000009</v>
      </c>
    </row>
    <row r="115" spans="1:22" ht="12.75" customHeight="1" x14ac:dyDescent="0.2">
      <c r="A115" s="86">
        <v>1999</v>
      </c>
      <c r="B115" s="36">
        <f t="shared" ref="B115:M115" si="40">B13+B47+B81</f>
        <v>676.44499999999994</v>
      </c>
      <c r="C115" s="36">
        <f t="shared" si="40"/>
        <v>704.10699999999997</v>
      </c>
      <c r="D115" s="36">
        <f t="shared" si="40"/>
        <v>827.46</v>
      </c>
      <c r="E115" s="36">
        <f t="shared" si="40"/>
        <v>797.76400000000001</v>
      </c>
      <c r="F115" s="36">
        <f t="shared" si="40"/>
        <v>861.30799999999999</v>
      </c>
      <c r="G115" s="36">
        <f t="shared" si="40"/>
        <v>893.50869999999998</v>
      </c>
      <c r="H115" s="36">
        <f t="shared" si="40"/>
        <v>833.39599999999996</v>
      </c>
      <c r="I115" s="36">
        <f t="shared" si="40"/>
        <v>916.35</v>
      </c>
      <c r="J115" s="36">
        <f t="shared" si="40"/>
        <v>905.35199999999998</v>
      </c>
      <c r="K115" s="36">
        <f t="shared" si="40"/>
        <v>947.31200000000001</v>
      </c>
      <c r="L115" s="36">
        <f t="shared" si="40"/>
        <v>875.60400000000004</v>
      </c>
      <c r="M115" s="36">
        <f t="shared" si="40"/>
        <v>757.23700000000008</v>
      </c>
      <c r="N115" s="83"/>
      <c r="O115" s="36">
        <f t="shared" si="28"/>
        <v>2208.0119999999997</v>
      </c>
      <c r="P115" s="36">
        <f t="shared" si="29"/>
        <v>2552.5807</v>
      </c>
      <c r="Q115" s="36">
        <f t="shared" si="30"/>
        <v>2655.098</v>
      </c>
      <c r="R115" s="36">
        <f t="shared" si="31"/>
        <v>2580.1530000000002</v>
      </c>
      <c r="S115" s="83"/>
      <c r="T115" s="36">
        <f t="shared" si="37"/>
        <v>9873.2237000000005</v>
      </c>
      <c r="U115" s="36">
        <f t="shared" si="32"/>
        <v>9995.8436999999994</v>
      </c>
    </row>
    <row r="116" spans="1:22" x14ac:dyDescent="0.2">
      <c r="A116" s="76">
        <v>2000</v>
      </c>
      <c r="B116" s="36">
        <f t="shared" ref="B116:M116" si="41">B14+B48+B82</f>
        <v>703.24800000000005</v>
      </c>
      <c r="C116" s="36">
        <f t="shared" si="41"/>
        <v>744.96900000000005</v>
      </c>
      <c r="D116" s="36">
        <f t="shared" si="41"/>
        <v>869.71199999999988</v>
      </c>
      <c r="E116" s="36">
        <f t="shared" si="41"/>
        <v>766.44100000000003</v>
      </c>
      <c r="F116" s="36">
        <f t="shared" si="41"/>
        <v>845.34500000000003</v>
      </c>
      <c r="G116" s="36">
        <f t="shared" si="41"/>
        <v>871.93399999999997</v>
      </c>
      <c r="H116" s="36">
        <f t="shared" si="41"/>
        <v>803.76</v>
      </c>
      <c r="I116" s="36">
        <f t="shared" si="41"/>
        <v>940.74199999999996</v>
      </c>
      <c r="J116" s="36">
        <f t="shared" si="41"/>
        <v>866.76099999999997</v>
      </c>
      <c r="K116" s="36">
        <f t="shared" si="41"/>
        <v>972.76799999999992</v>
      </c>
      <c r="L116" s="36">
        <f t="shared" si="41"/>
        <v>862.77499999999998</v>
      </c>
      <c r="M116" s="36">
        <f t="shared" si="41"/>
        <v>728.13599999999997</v>
      </c>
      <c r="N116" s="83"/>
      <c r="O116" s="36">
        <f t="shared" si="28"/>
        <v>2317.9290000000001</v>
      </c>
      <c r="P116" s="36">
        <f t="shared" si="29"/>
        <v>2483.7200000000003</v>
      </c>
      <c r="Q116" s="36">
        <f t="shared" si="30"/>
        <v>2611.2629999999999</v>
      </c>
      <c r="R116" s="36">
        <f t="shared" si="31"/>
        <v>2563.6790000000001</v>
      </c>
      <c r="S116" s="83"/>
      <c r="T116" s="36">
        <f t="shared" si="37"/>
        <v>9993.0650000000005</v>
      </c>
      <c r="U116" s="36">
        <f t="shared" si="32"/>
        <v>9976.5910000000003</v>
      </c>
    </row>
    <row r="117" spans="1:22" x14ac:dyDescent="0.2">
      <c r="A117" s="82">
        <v>2001</v>
      </c>
      <c r="B117" s="36">
        <f t="shared" ref="B117:M117" si="42">B15+B49+B83</f>
        <v>781.18200000000002</v>
      </c>
      <c r="C117" s="36">
        <f t="shared" si="42"/>
        <v>717.68200000000002</v>
      </c>
      <c r="D117" s="36">
        <f t="shared" si="42"/>
        <v>871.23900000000003</v>
      </c>
      <c r="E117" s="36">
        <f t="shared" si="42"/>
        <v>787.84999999999991</v>
      </c>
      <c r="F117" s="36">
        <f t="shared" si="42"/>
        <v>836.97200000000009</v>
      </c>
      <c r="G117" s="36">
        <f t="shared" si="42"/>
        <v>860.92899999999997</v>
      </c>
      <c r="H117" s="36">
        <f t="shared" si="42"/>
        <v>835.1869999999999</v>
      </c>
      <c r="I117" s="36">
        <f t="shared" si="42"/>
        <v>917.25400000000002</v>
      </c>
      <c r="J117" s="36">
        <f t="shared" si="42"/>
        <v>827.78499999999997</v>
      </c>
      <c r="K117" s="36">
        <f t="shared" si="42"/>
        <v>922.29899999999998</v>
      </c>
      <c r="L117" s="36">
        <f t="shared" si="42"/>
        <v>849.33200000000011</v>
      </c>
      <c r="M117" s="36">
        <f t="shared" si="42"/>
        <v>702.81799999999998</v>
      </c>
      <c r="N117" s="83"/>
      <c r="O117" s="36">
        <f t="shared" si="28"/>
        <v>2370.1030000000001</v>
      </c>
      <c r="P117" s="36">
        <f t="shared" si="29"/>
        <v>2485.7510000000002</v>
      </c>
      <c r="Q117" s="36">
        <f t="shared" si="30"/>
        <v>2580.2259999999997</v>
      </c>
      <c r="R117" s="36">
        <f t="shared" si="31"/>
        <v>2474.4490000000001</v>
      </c>
      <c r="S117" s="83"/>
      <c r="T117" s="36">
        <f t="shared" si="37"/>
        <v>9999.759</v>
      </c>
      <c r="U117" s="36">
        <f t="shared" si="32"/>
        <v>9910.5290000000005</v>
      </c>
    </row>
    <row r="118" spans="1:22" x14ac:dyDescent="0.2">
      <c r="A118" s="84">
        <v>2002</v>
      </c>
      <c r="B118" s="36">
        <f t="shared" ref="B118:M118" si="43">B16+B50+B84</f>
        <v>744.12900000000002</v>
      </c>
      <c r="C118" s="36">
        <f t="shared" si="43"/>
        <v>695.18899999999996</v>
      </c>
      <c r="D118" s="36">
        <f t="shared" si="43"/>
        <v>787.71299999999997</v>
      </c>
      <c r="E118" s="36">
        <f t="shared" si="43"/>
        <v>771.15</v>
      </c>
      <c r="F118" s="36">
        <f t="shared" si="43"/>
        <v>833.83699999999999</v>
      </c>
      <c r="G118" s="36">
        <f t="shared" si="43"/>
        <v>834.24099999999999</v>
      </c>
      <c r="H118" s="36">
        <f t="shared" si="43"/>
        <v>844.09999999999991</v>
      </c>
      <c r="I118" s="36">
        <f t="shared" si="43"/>
        <v>857.99199999999996</v>
      </c>
      <c r="J118" s="36">
        <f t="shared" si="43"/>
        <v>942.50499999999988</v>
      </c>
      <c r="K118" s="36">
        <f t="shared" si="43"/>
        <v>927.41750000000002</v>
      </c>
      <c r="L118" s="36">
        <f t="shared" si="43"/>
        <v>859.94850000000008</v>
      </c>
      <c r="M118" s="36">
        <f t="shared" si="43"/>
        <v>709.36299999999994</v>
      </c>
      <c r="N118" s="83"/>
      <c r="O118" s="36">
        <f t="shared" si="28"/>
        <v>2227.0309999999999</v>
      </c>
      <c r="P118" s="36">
        <f t="shared" ref="P118:P132" si="44">SUM(E118:G118)</f>
        <v>2439.2280000000001</v>
      </c>
      <c r="Q118" s="36">
        <f t="shared" si="30"/>
        <v>2644.5969999999998</v>
      </c>
      <c r="R118" s="36">
        <f t="shared" si="31"/>
        <v>2496.7289999999998</v>
      </c>
      <c r="S118" s="83"/>
      <c r="T118" s="36">
        <f t="shared" si="37"/>
        <v>9785.3050000000003</v>
      </c>
      <c r="U118" s="36">
        <f t="shared" si="32"/>
        <v>9807.5849999999991</v>
      </c>
    </row>
    <row r="119" spans="1:22" x14ac:dyDescent="0.2">
      <c r="A119" s="84">
        <v>2003</v>
      </c>
      <c r="B119" s="36">
        <f t="shared" ref="B119:M119" si="45">B17+B51+B85</f>
        <v>688.96199999999999</v>
      </c>
      <c r="C119" s="36">
        <f t="shared" si="45"/>
        <v>685.38199999999995</v>
      </c>
      <c r="D119" s="36">
        <f t="shared" si="45"/>
        <v>808.78200000000004</v>
      </c>
      <c r="E119" s="36">
        <f t="shared" si="45"/>
        <v>772.36400000000003</v>
      </c>
      <c r="F119" s="36">
        <f t="shared" si="45"/>
        <v>746.37699999999995</v>
      </c>
      <c r="G119" s="36">
        <f t="shared" si="45"/>
        <v>840.91800000000001</v>
      </c>
      <c r="H119" s="36">
        <f t="shared" si="45"/>
        <v>801.65899999999999</v>
      </c>
      <c r="I119" s="36">
        <f t="shared" si="45"/>
        <v>855.62</v>
      </c>
      <c r="J119" s="36">
        <f t="shared" si="45"/>
        <v>806.86300000000006</v>
      </c>
      <c r="K119" s="36">
        <f t="shared" si="45"/>
        <v>895.98199999999997</v>
      </c>
      <c r="L119" s="36">
        <f t="shared" si="45"/>
        <v>836.702</v>
      </c>
      <c r="M119" s="36">
        <f t="shared" si="45"/>
        <v>771.41699999999992</v>
      </c>
      <c r="N119" s="83"/>
      <c r="O119" s="36">
        <f t="shared" si="28"/>
        <v>2183.1260000000002</v>
      </c>
      <c r="P119" s="36">
        <f t="shared" si="44"/>
        <v>2359.6590000000001</v>
      </c>
      <c r="Q119" s="36">
        <f>SUM(H119:J119)</f>
        <v>2464.1419999999998</v>
      </c>
      <c r="R119" s="36">
        <f t="shared" si="31"/>
        <v>2504.1009999999997</v>
      </c>
      <c r="S119" s="83"/>
      <c r="T119" s="36">
        <f t="shared" si="37"/>
        <v>9503.655999999999</v>
      </c>
      <c r="U119" s="36">
        <f t="shared" ref="U119:U133" si="46">SUM(O119:R119)</f>
        <v>9511.0279999999984</v>
      </c>
      <c r="V119" s="89"/>
    </row>
    <row r="120" spans="1:22" x14ac:dyDescent="0.2">
      <c r="A120" s="84">
        <v>2004</v>
      </c>
      <c r="B120" s="36">
        <f t="shared" ref="B120:M120" si="47">B18+B52+B86</f>
        <v>706.08799999999997</v>
      </c>
      <c r="C120" s="36">
        <f t="shared" si="47"/>
        <v>761.50700000000006</v>
      </c>
      <c r="D120" s="36">
        <f t="shared" si="47"/>
        <v>818.9</v>
      </c>
      <c r="E120" s="36">
        <f t="shared" si="47"/>
        <v>767.45399999999995</v>
      </c>
      <c r="F120" s="36">
        <f t="shared" si="47"/>
        <v>751.15499999999997</v>
      </c>
      <c r="G120" s="36">
        <f t="shared" si="47"/>
        <v>849.52599999999995</v>
      </c>
      <c r="H120" s="36">
        <f t="shared" si="47"/>
        <v>816.66700000000003</v>
      </c>
      <c r="I120" s="36">
        <f t="shared" si="47"/>
        <v>892.66099999999994</v>
      </c>
      <c r="J120" s="36">
        <f t="shared" si="47"/>
        <v>810.28499999999997</v>
      </c>
      <c r="K120" s="36">
        <f t="shared" si="47"/>
        <v>966.58400000000006</v>
      </c>
      <c r="L120" s="36">
        <f t="shared" si="47"/>
        <v>854.74299999999994</v>
      </c>
      <c r="M120" s="36">
        <f t="shared" si="47"/>
        <v>726.14400000000012</v>
      </c>
      <c r="N120" s="83"/>
      <c r="O120" s="36">
        <f t="shared" si="28"/>
        <v>2286.4949999999999</v>
      </c>
      <c r="P120" s="36">
        <f t="shared" si="44"/>
        <v>2368.1349999999998</v>
      </c>
      <c r="Q120" s="36">
        <f>SUM(H120:J120)</f>
        <v>2519.6129999999998</v>
      </c>
      <c r="R120" s="36">
        <f t="shared" si="31"/>
        <v>2547.471</v>
      </c>
      <c r="S120" s="83"/>
      <c r="T120" s="36">
        <f t="shared" si="37"/>
        <v>9678.3439999999991</v>
      </c>
      <c r="U120" s="36">
        <f t="shared" si="46"/>
        <v>9721.7139999999981</v>
      </c>
      <c r="V120" s="89"/>
    </row>
    <row r="121" spans="1:22" x14ac:dyDescent="0.2">
      <c r="A121" s="84">
        <v>2005</v>
      </c>
      <c r="B121" s="36">
        <f t="shared" ref="B121:M121" si="48">B19+B53+B87</f>
        <v>736.51499999999999</v>
      </c>
      <c r="C121" s="36">
        <f t="shared" si="48"/>
        <v>732.029</v>
      </c>
      <c r="D121" s="36">
        <f t="shared" si="48"/>
        <v>866.28399999999999</v>
      </c>
      <c r="E121" s="36">
        <f t="shared" si="48"/>
        <v>793.47300000000007</v>
      </c>
      <c r="F121" s="36">
        <f t="shared" si="48"/>
        <v>810.899</v>
      </c>
      <c r="G121" s="36">
        <f t="shared" si="48"/>
        <v>866.76900000000012</v>
      </c>
      <c r="H121" s="36">
        <f t="shared" si="48"/>
        <v>804.01499999999999</v>
      </c>
      <c r="I121" s="36">
        <f t="shared" si="48"/>
        <v>897.43399999999997</v>
      </c>
      <c r="J121" s="36">
        <f t="shared" si="48"/>
        <v>964.26899999999989</v>
      </c>
      <c r="K121" s="36">
        <f t="shared" si="48"/>
        <v>950.56700000000001</v>
      </c>
      <c r="L121" s="36">
        <f t="shared" si="48"/>
        <v>827.58799999999997</v>
      </c>
      <c r="M121" s="36">
        <f t="shared" si="48"/>
        <v>792.67500000000007</v>
      </c>
      <c r="N121" s="83"/>
      <c r="O121" s="36">
        <f t="shared" si="28"/>
        <v>2334.828</v>
      </c>
      <c r="P121" s="36">
        <f t="shared" si="44"/>
        <v>2471.1410000000001</v>
      </c>
      <c r="Q121" s="36">
        <f>SUM(H121:J121)</f>
        <v>2665.7179999999998</v>
      </c>
      <c r="R121" s="36">
        <f t="shared" si="31"/>
        <v>2570.83</v>
      </c>
      <c r="S121" s="83"/>
      <c r="T121" s="36">
        <f t="shared" si="37"/>
        <v>10019.157999999999</v>
      </c>
      <c r="U121" s="36">
        <f t="shared" si="46"/>
        <v>10042.517</v>
      </c>
      <c r="V121" s="89"/>
    </row>
    <row r="122" spans="1:22" x14ac:dyDescent="0.2">
      <c r="A122" s="84">
        <v>2006</v>
      </c>
      <c r="B122" s="36">
        <f t="shared" ref="B122:M122" si="49">B20+B54+B88</f>
        <v>839.41799999999989</v>
      </c>
      <c r="C122" s="36">
        <f t="shared" si="49"/>
        <v>695.173</v>
      </c>
      <c r="D122" s="36">
        <f t="shared" si="49"/>
        <v>901.05200000000002</v>
      </c>
      <c r="E122" s="36">
        <f t="shared" si="49"/>
        <v>754.52300000000002</v>
      </c>
      <c r="F122" s="36">
        <f t="shared" si="49"/>
        <v>825.34699999999998</v>
      </c>
      <c r="G122" s="36">
        <f t="shared" si="49"/>
        <v>907.15099999999995</v>
      </c>
      <c r="H122" s="36">
        <f t="shared" si="49"/>
        <v>853.28699999999992</v>
      </c>
      <c r="I122" s="36">
        <f t="shared" si="49"/>
        <v>969.274</v>
      </c>
      <c r="J122" s="36">
        <f t="shared" si="49"/>
        <v>867.63700000000006</v>
      </c>
      <c r="K122" s="36">
        <f t="shared" si="49"/>
        <v>887.76600000000008</v>
      </c>
      <c r="L122" s="36">
        <f t="shared" si="49"/>
        <v>806.48400000000004</v>
      </c>
      <c r="M122" s="36">
        <f t="shared" si="49"/>
        <v>694.48099999999999</v>
      </c>
      <c r="N122" s="83"/>
      <c r="O122" s="36">
        <f t="shared" si="28"/>
        <v>2435.643</v>
      </c>
      <c r="P122" s="36">
        <f t="shared" si="44"/>
        <v>2487.0209999999997</v>
      </c>
      <c r="Q122" s="36">
        <f t="shared" ref="Q122:Q133" si="50">SUM(H122:J122)</f>
        <v>2690.1979999999999</v>
      </c>
      <c r="R122" s="36">
        <f t="shared" si="31"/>
        <v>2388.7309999999998</v>
      </c>
      <c r="S122" s="83"/>
      <c r="T122" s="36">
        <f t="shared" si="37"/>
        <v>10183.691999999999</v>
      </c>
      <c r="U122" s="36">
        <f t="shared" si="46"/>
        <v>10001.592999999999</v>
      </c>
      <c r="V122" s="89"/>
    </row>
    <row r="123" spans="1:22" x14ac:dyDescent="0.2">
      <c r="A123" s="84">
        <v>2007</v>
      </c>
      <c r="B123" s="36">
        <f t="shared" ref="B123:M123" si="51">B21+B55+B89</f>
        <v>754.37999999999988</v>
      </c>
      <c r="C123" s="36">
        <f t="shared" si="51"/>
        <v>715.04200000000003</v>
      </c>
      <c r="D123" s="36">
        <f t="shared" si="51"/>
        <v>837.51</v>
      </c>
      <c r="E123" s="36">
        <f t="shared" si="51"/>
        <v>836.72799999999995</v>
      </c>
      <c r="F123" s="36">
        <f t="shared" si="51"/>
        <v>861.55100000000004</v>
      </c>
      <c r="G123" s="36">
        <f t="shared" si="51"/>
        <v>836.75200000000007</v>
      </c>
      <c r="H123" s="36">
        <f t="shared" si="51"/>
        <v>842.80099999999993</v>
      </c>
      <c r="I123" s="36">
        <f t="shared" si="51"/>
        <v>966.08</v>
      </c>
      <c r="J123" s="36">
        <f t="shared" si="51"/>
        <v>873.05</v>
      </c>
      <c r="K123" s="36">
        <f t="shared" si="51"/>
        <v>880.30899999999997</v>
      </c>
      <c r="L123" s="36">
        <f t="shared" si="51"/>
        <v>866.83600000000001</v>
      </c>
      <c r="M123" s="36">
        <f t="shared" si="51"/>
        <v>675.03099999999995</v>
      </c>
      <c r="N123" s="83"/>
      <c r="O123" s="36">
        <f t="shared" si="28"/>
        <v>2306.9319999999998</v>
      </c>
      <c r="P123" s="36">
        <f t="shared" si="44"/>
        <v>2535.0309999999999</v>
      </c>
      <c r="Q123" s="36">
        <f t="shared" si="50"/>
        <v>2681.9309999999996</v>
      </c>
      <c r="R123" s="36">
        <f t="shared" si="31"/>
        <v>2422.1759999999999</v>
      </c>
      <c r="S123" s="83"/>
      <c r="T123" s="36">
        <f t="shared" si="37"/>
        <v>9912.625</v>
      </c>
      <c r="U123" s="36">
        <f t="shared" si="46"/>
        <v>9946.07</v>
      </c>
      <c r="V123" s="89"/>
    </row>
    <row r="124" spans="1:22" x14ac:dyDescent="0.2">
      <c r="A124" s="84">
        <v>2008</v>
      </c>
      <c r="B124" s="36">
        <f t="shared" ref="B124:M124" si="52">B22+B56+B90</f>
        <v>751.82399999999996</v>
      </c>
      <c r="C124" s="36">
        <f t="shared" si="52"/>
        <v>846.47799999999995</v>
      </c>
      <c r="D124" s="36">
        <f t="shared" si="52"/>
        <v>890.79499999999996</v>
      </c>
      <c r="E124" s="36">
        <f t="shared" si="52"/>
        <v>922.83899999999994</v>
      </c>
      <c r="F124" s="36">
        <f t="shared" si="52"/>
        <v>915.08799999999997</v>
      </c>
      <c r="G124" s="36">
        <f t="shared" si="52"/>
        <v>837.76599999999996</v>
      </c>
      <c r="H124" s="36">
        <f t="shared" si="52"/>
        <v>915.79600000000005</v>
      </c>
      <c r="I124" s="36">
        <f t="shared" si="52"/>
        <v>919.62</v>
      </c>
      <c r="J124" s="36">
        <f t="shared" si="52"/>
        <v>971.94699999999989</v>
      </c>
      <c r="K124" s="36">
        <f t="shared" si="52"/>
        <v>1096.2190000000001</v>
      </c>
      <c r="L124" s="36">
        <f t="shared" si="52"/>
        <v>872.12199999999996</v>
      </c>
      <c r="M124" s="36">
        <f t="shared" si="52"/>
        <v>774.85599999999999</v>
      </c>
      <c r="N124" s="83"/>
      <c r="O124" s="36">
        <f t="shared" si="28"/>
        <v>2489.0969999999998</v>
      </c>
      <c r="P124" s="36">
        <f t="shared" si="44"/>
        <v>2675.6929999999998</v>
      </c>
      <c r="Q124" s="36">
        <f t="shared" si="50"/>
        <v>2807.3630000000003</v>
      </c>
      <c r="R124" s="36">
        <f t="shared" si="31"/>
        <v>2743.1970000000001</v>
      </c>
      <c r="S124" s="83"/>
      <c r="T124" s="36">
        <f t="shared" si="37"/>
        <v>10394.328999999998</v>
      </c>
      <c r="U124" s="36">
        <f t="shared" si="46"/>
        <v>10715.349999999999</v>
      </c>
      <c r="V124" s="89"/>
    </row>
    <row r="125" spans="1:22" x14ac:dyDescent="0.2">
      <c r="A125" s="76">
        <v>2009</v>
      </c>
      <c r="B125" s="36">
        <f t="shared" ref="B125:M125" si="53">B23+B57+B91</f>
        <v>829.53100000000006</v>
      </c>
      <c r="C125" s="36">
        <f t="shared" si="53"/>
        <v>622.62</v>
      </c>
      <c r="D125" s="36">
        <f t="shared" si="53"/>
        <v>934.87800000000004</v>
      </c>
      <c r="E125" s="36">
        <f t="shared" si="53"/>
        <v>864.77800000000002</v>
      </c>
      <c r="F125" s="36">
        <f t="shared" si="53"/>
        <v>898.49600000000009</v>
      </c>
      <c r="G125" s="36">
        <f t="shared" si="53"/>
        <v>839.06999999999994</v>
      </c>
      <c r="H125" s="36">
        <f t="shared" si="53"/>
        <v>940.69200000000012</v>
      </c>
      <c r="I125" s="36">
        <f t="shared" si="53"/>
        <v>952.03500000000008</v>
      </c>
      <c r="J125" s="36">
        <f t="shared" si="53"/>
        <v>887.12199999999996</v>
      </c>
      <c r="K125" s="36">
        <f t="shared" si="53"/>
        <v>999.6160000000001</v>
      </c>
      <c r="L125" s="36">
        <f t="shared" si="53"/>
        <v>909.86599999999987</v>
      </c>
      <c r="M125" s="36">
        <f t="shared" si="53"/>
        <v>805.93899999999996</v>
      </c>
      <c r="N125" s="83"/>
      <c r="O125" s="36">
        <f t="shared" si="28"/>
        <v>2387.029</v>
      </c>
      <c r="P125" s="36">
        <f t="shared" si="44"/>
        <v>2602.3440000000001</v>
      </c>
      <c r="Q125" s="36">
        <f t="shared" si="50"/>
        <v>2779.8490000000002</v>
      </c>
      <c r="R125" s="36">
        <f t="shared" si="31"/>
        <v>2715.4209999999998</v>
      </c>
      <c r="S125" s="83"/>
      <c r="T125" s="36">
        <f t="shared" si="37"/>
        <v>10512.419000000002</v>
      </c>
      <c r="U125" s="36">
        <f t="shared" si="46"/>
        <v>10484.643</v>
      </c>
      <c r="V125" s="89"/>
    </row>
    <row r="126" spans="1:22" x14ac:dyDescent="0.2">
      <c r="A126" s="76">
        <v>2010</v>
      </c>
      <c r="B126" s="36">
        <f t="shared" ref="B126:M126" si="54">B24+B58+B92</f>
        <v>783.27799999999991</v>
      </c>
      <c r="C126" s="36">
        <f t="shared" si="54"/>
        <v>756.65800000000002</v>
      </c>
      <c r="D126" s="36">
        <f t="shared" si="54"/>
        <v>963.58899999999994</v>
      </c>
      <c r="E126" s="36">
        <f t="shared" si="54"/>
        <v>881.23</v>
      </c>
      <c r="F126" s="36">
        <f t="shared" si="54"/>
        <v>881.28100000000006</v>
      </c>
      <c r="G126" s="36">
        <f t="shared" si="54"/>
        <v>929.78899999999999</v>
      </c>
      <c r="H126" s="36">
        <f t="shared" si="54"/>
        <v>946.18899999999996</v>
      </c>
      <c r="I126" s="36">
        <f t="shared" si="54"/>
        <v>992.75</v>
      </c>
      <c r="J126" s="36">
        <f t="shared" si="54"/>
        <v>1066.4189999999999</v>
      </c>
      <c r="K126" s="36">
        <f t="shared" si="54"/>
        <v>963.63</v>
      </c>
      <c r="L126" s="36">
        <f t="shared" si="54"/>
        <v>1007.115</v>
      </c>
      <c r="M126" s="36">
        <f t="shared" si="54"/>
        <v>819.99699999999996</v>
      </c>
      <c r="N126" s="83"/>
      <c r="O126" s="36">
        <f t="shared" si="28"/>
        <v>2503.5249999999996</v>
      </c>
      <c r="P126" s="36">
        <f t="shared" si="44"/>
        <v>2692.3</v>
      </c>
      <c r="Q126" s="36">
        <f t="shared" si="50"/>
        <v>3005.3579999999997</v>
      </c>
      <c r="R126" s="36">
        <f t="shared" si="31"/>
        <v>2790.7419999999997</v>
      </c>
      <c r="S126" s="83"/>
      <c r="T126" s="36">
        <f t="shared" si="37"/>
        <v>10916.603999999999</v>
      </c>
      <c r="U126" s="36">
        <f t="shared" si="46"/>
        <v>10991.924999999999</v>
      </c>
      <c r="V126" s="89"/>
    </row>
    <row r="127" spans="1:22" x14ac:dyDescent="0.2">
      <c r="A127" s="76">
        <v>2011</v>
      </c>
      <c r="B127" s="36">
        <f t="shared" ref="B127:M127" si="55">B25+B59+B93</f>
        <v>729.06600000000003</v>
      </c>
      <c r="C127" s="36">
        <f t="shared" si="55"/>
        <v>864.86699999999996</v>
      </c>
      <c r="D127" s="36">
        <f t="shared" si="55"/>
        <v>998.23</v>
      </c>
      <c r="E127" s="36">
        <f t="shared" si="55"/>
        <v>882.32499999999993</v>
      </c>
      <c r="F127" s="36">
        <f t="shared" si="55"/>
        <v>950.56400000000008</v>
      </c>
      <c r="G127" s="36">
        <f t="shared" si="55"/>
        <v>911.16300000000001</v>
      </c>
      <c r="H127" s="36">
        <f t="shared" si="55"/>
        <v>983.351</v>
      </c>
      <c r="I127" s="36">
        <f t="shared" si="55"/>
        <v>995.92700000000002</v>
      </c>
      <c r="J127" s="36">
        <f t="shared" si="55"/>
        <v>1086.5260000000001</v>
      </c>
      <c r="K127" s="36">
        <f t="shared" si="55"/>
        <v>1091.585</v>
      </c>
      <c r="L127" s="36">
        <f t="shared" si="55"/>
        <v>787.8649999999999</v>
      </c>
      <c r="M127" s="36">
        <f t="shared" si="55"/>
        <v>836.58899999999994</v>
      </c>
      <c r="N127" s="83"/>
      <c r="O127" s="36">
        <f t="shared" si="28"/>
        <v>2592.163</v>
      </c>
      <c r="P127" s="36">
        <f t="shared" si="44"/>
        <v>2744.0520000000001</v>
      </c>
      <c r="Q127" s="36">
        <f t="shared" si="50"/>
        <v>3065.8040000000001</v>
      </c>
      <c r="R127" s="36">
        <f t="shared" si="31"/>
        <v>2716.0389999999998</v>
      </c>
      <c r="S127" s="83"/>
      <c r="T127" s="36">
        <f t="shared" si="37"/>
        <v>11192.761</v>
      </c>
      <c r="U127" s="36">
        <f t="shared" si="46"/>
        <v>11118.058000000001</v>
      </c>
      <c r="V127" s="89"/>
    </row>
    <row r="128" spans="1:22" x14ac:dyDescent="0.2">
      <c r="A128" s="76">
        <v>2012</v>
      </c>
      <c r="B128" s="36">
        <f t="shared" ref="B128:M128" si="56">B26+B60+B94</f>
        <v>782.65800000000002</v>
      </c>
      <c r="C128" s="36">
        <f t="shared" si="56"/>
        <v>889.19100000000003</v>
      </c>
      <c r="D128" s="36">
        <f t="shared" si="56"/>
        <v>957.43700000000013</v>
      </c>
      <c r="E128" s="36">
        <f t="shared" si="56"/>
        <v>829.30599999999993</v>
      </c>
      <c r="F128" s="36">
        <f t="shared" si="56"/>
        <v>1015.6500000000001</v>
      </c>
      <c r="G128" s="36">
        <f t="shared" si="56"/>
        <v>1032.08</v>
      </c>
      <c r="H128" s="36">
        <f t="shared" si="56"/>
        <v>935.05199999999991</v>
      </c>
      <c r="I128" s="36">
        <f t="shared" si="56"/>
        <v>995.15500000000009</v>
      </c>
      <c r="J128" s="36">
        <f t="shared" si="56"/>
        <v>988.22</v>
      </c>
      <c r="K128" s="36">
        <f t="shared" si="56"/>
        <v>1044.2360000000001</v>
      </c>
      <c r="L128" s="36">
        <f t="shared" si="56"/>
        <v>1034.596</v>
      </c>
      <c r="M128" s="36">
        <f t="shared" si="56"/>
        <v>753.72500000000002</v>
      </c>
      <c r="N128" s="83"/>
      <c r="O128" s="36">
        <f t="shared" si="28"/>
        <v>2629.2860000000001</v>
      </c>
      <c r="P128" s="36">
        <f t="shared" si="44"/>
        <v>2877.0360000000001</v>
      </c>
      <c r="Q128" s="36">
        <f t="shared" si="50"/>
        <v>2918.4269999999997</v>
      </c>
      <c r="R128" s="36">
        <f t="shared" si="31"/>
        <v>2832.5570000000002</v>
      </c>
      <c r="S128" s="83"/>
      <c r="T128" s="36">
        <f t="shared" si="37"/>
        <v>11140.788</v>
      </c>
      <c r="U128" s="36">
        <f t="shared" si="46"/>
        <v>11257.306</v>
      </c>
      <c r="V128" s="89"/>
    </row>
    <row r="129" spans="1:22" x14ac:dyDescent="0.2">
      <c r="A129" s="76">
        <v>2013</v>
      </c>
      <c r="B129" s="36">
        <f t="shared" ref="B129:M129" si="57">B27+B61+B95</f>
        <v>912.38200000000006</v>
      </c>
      <c r="C129" s="36">
        <f t="shared" si="57"/>
        <v>888.5809999999999</v>
      </c>
      <c r="D129" s="36">
        <f t="shared" si="57"/>
        <v>892.41699999999992</v>
      </c>
      <c r="E129" s="36">
        <f t="shared" si="57"/>
        <v>956.30000000000007</v>
      </c>
      <c r="F129" s="36">
        <f t="shared" si="57"/>
        <v>987.29</v>
      </c>
      <c r="G129" s="36">
        <f t="shared" si="57"/>
        <v>982.32899999999995</v>
      </c>
      <c r="H129" s="36">
        <f t="shared" si="57"/>
        <v>1017.662</v>
      </c>
      <c r="I129" s="36">
        <f t="shared" si="57"/>
        <v>979.87300000000005</v>
      </c>
      <c r="J129" s="36">
        <f t="shared" si="57"/>
        <v>1061.3779999999999</v>
      </c>
      <c r="K129" s="36">
        <f t="shared" si="57"/>
        <v>986.48399999999992</v>
      </c>
      <c r="L129" s="36">
        <f t="shared" si="57"/>
        <v>1080.232</v>
      </c>
      <c r="M129" s="36">
        <f t="shared" si="57"/>
        <v>830.35899999999992</v>
      </c>
      <c r="N129" s="83"/>
      <c r="O129" s="36">
        <f t="shared" si="28"/>
        <v>2693.38</v>
      </c>
      <c r="P129" s="36">
        <f t="shared" si="44"/>
        <v>2925.9189999999999</v>
      </c>
      <c r="Q129" s="36">
        <f t="shared" si="50"/>
        <v>3058.913</v>
      </c>
      <c r="R129" s="36">
        <f t="shared" si="31"/>
        <v>2897.0749999999998</v>
      </c>
      <c r="S129" s="83"/>
      <c r="T129" s="36">
        <f t="shared" si="37"/>
        <v>11510.769</v>
      </c>
      <c r="U129" s="36">
        <f t="shared" si="46"/>
        <v>11575.287</v>
      </c>
      <c r="V129" s="89"/>
    </row>
    <row r="130" spans="1:22" x14ac:dyDescent="0.2">
      <c r="A130" s="76">
        <v>2014</v>
      </c>
      <c r="B130" s="36">
        <f t="shared" ref="B130:M130" si="58">B28+B62+B96</f>
        <v>869.32</v>
      </c>
      <c r="C130" s="36">
        <f t="shared" si="58"/>
        <v>887.1819999999999</v>
      </c>
      <c r="D130" s="36">
        <f t="shared" si="58"/>
        <v>958.21299999999997</v>
      </c>
      <c r="E130" s="36">
        <f t="shared" si="58"/>
        <v>1057.8989999999999</v>
      </c>
      <c r="F130" s="36">
        <f t="shared" si="58"/>
        <v>1017.1789999999999</v>
      </c>
      <c r="G130" s="36">
        <f t="shared" si="58"/>
        <v>933.41199999999992</v>
      </c>
      <c r="H130" s="36">
        <f t="shared" si="58"/>
        <v>1095.423</v>
      </c>
      <c r="I130" s="36">
        <f t="shared" si="58"/>
        <v>1006.843</v>
      </c>
      <c r="J130" s="36">
        <f t="shared" si="58"/>
        <v>1099.338</v>
      </c>
      <c r="K130" s="36">
        <f t="shared" si="58"/>
        <v>1053.0999999999999</v>
      </c>
      <c r="L130" s="36">
        <f t="shared" si="58"/>
        <v>920.31799999999998</v>
      </c>
      <c r="M130" s="36">
        <f t="shared" si="58"/>
        <v>841.77599999999995</v>
      </c>
      <c r="N130" s="83"/>
      <c r="O130" s="36">
        <f t="shared" si="28"/>
        <v>2714.7150000000001</v>
      </c>
      <c r="P130" s="36">
        <f t="shared" si="44"/>
        <v>3008.4899999999993</v>
      </c>
      <c r="Q130" s="36">
        <f t="shared" si="50"/>
        <v>3201.6040000000003</v>
      </c>
      <c r="R130" s="36">
        <f t="shared" si="31"/>
        <v>2815.194</v>
      </c>
      <c r="S130" s="83"/>
      <c r="T130" s="36">
        <f t="shared" si="37"/>
        <v>11821.883999999998</v>
      </c>
      <c r="U130" s="36">
        <f t="shared" si="46"/>
        <v>11740.003000000001</v>
      </c>
      <c r="V130" s="89"/>
    </row>
    <row r="131" spans="1:22" x14ac:dyDescent="0.2">
      <c r="A131" s="76">
        <v>2015</v>
      </c>
      <c r="B131" s="36">
        <f t="shared" ref="B131:M131" si="59">B29+B63+B97</f>
        <v>966.55499999999995</v>
      </c>
      <c r="C131" s="36">
        <f t="shared" si="59"/>
        <v>809.02199999999993</v>
      </c>
      <c r="D131" s="36">
        <f t="shared" si="59"/>
        <v>1061</v>
      </c>
      <c r="E131" s="36">
        <f t="shared" si="59"/>
        <v>935.93799999999999</v>
      </c>
      <c r="F131" s="36">
        <f t="shared" si="59"/>
        <v>940.49499999999989</v>
      </c>
      <c r="G131" s="36">
        <f t="shared" si="59"/>
        <v>1158.202</v>
      </c>
      <c r="H131" s="36">
        <f t="shared" si="59"/>
        <v>1134.692</v>
      </c>
      <c r="I131" s="36">
        <f t="shared" si="59"/>
        <v>1033.721</v>
      </c>
      <c r="J131" s="36">
        <f t="shared" si="59"/>
        <v>1066.423</v>
      </c>
      <c r="K131" s="36">
        <f t="shared" si="59"/>
        <v>983.43599999999992</v>
      </c>
      <c r="L131" s="36">
        <f t="shared" si="59"/>
        <v>877.26299999999992</v>
      </c>
      <c r="M131" s="36">
        <f t="shared" si="59"/>
        <v>966.41200000000003</v>
      </c>
      <c r="N131" s="83"/>
      <c r="O131" s="36">
        <f t="shared" si="28"/>
        <v>2836.5769999999998</v>
      </c>
      <c r="P131" s="36">
        <f t="shared" si="44"/>
        <v>3034.6350000000002</v>
      </c>
      <c r="Q131" s="36">
        <f t="shared" si="50"/>
        <v>3234.8360000000002</v>
      </c>
      <c r="R131" s="36">
        <f t="shared" ref="R131:R136" si="60">SUM(K131:M131)</f>
        <v>2827.1109999999999</v>
      </c>
      <c r="S131" s="83"/>
      <c r="T131" s="36">
        <f t="shared" si="37"/>
        <v>11921.241999999998</v>
      </c>
      <c r="U131" s="36">
        <f t="shared" si="46"/>
        <v>11933.159</v>
      </c>
      <c r="V131" s="89"/>
    </row>
    <row r="132" spans="1:22" x14ac:dyDescent="0.2">
      <c r="A132" s="76">
        <v>2016</v>
      </c>
      <c r="B132" s="36">
        <f t="shared" ref="B132:M132" si="61">B30+B64+B98</f>
        <v>930.08199999999999</v>
      </c>
      <c r="C132" s="36">
        <f t="shared" si="61"/>
        <v>924.34299999999996</v>
      </c>
      <c r="D132" s="36">
        <f t="shared" si="61"/>
        <v>1097.537</v>
      </c>
      <c r="E132" s="36">
        <f t="shared" si="61"/>
        <v>958.86400000000003</v>
      </c>
      <c r="F132" s="36">
        <f t="shared" si="61"/>
        <v>992.75199999999995</v>
      </c>
      <c r="G132" s="36">
        <f t="shared" si="61"/>
        <v>953.83600000000001</v>
      </c>
      <c r="H132" s="36">
        <f t="shared" si="61"/>
        <v>1074.884</v>
      </c>
      <c r="I132" s="36">
        <f t="shared" si="61"/>
        <v>1056.2769999999998</v>
      </c>
      <c r="J132" s="36">
        <f t="shared" si="61"/>
        <v>1065.037</v>
      </c>
      <c r="K132" s="36">
        <f t="shared" si="61"/>
        <v>1030.701</v>
      </c>
      <c r="L132" s="36">
        <f t="shared" si="61"/>
        <v>1076.931</v>
      </c>
      <c r="M132" s="36">
        <f t="shared" si="61"/>
        <v>954.20699999999999</v>
      </c>
      <c r="N132" s="83"/>
      <c r="O132" s="36">
        <f t="shared" si="28"/>
        <v>2951.962</v>
      </c>
      <c r="P132" s="36">
        <f t="shared" si="44"/>
        <v>2905.4520000000002</v>
      </c>
      <c r="Q132" s="36">
        <f t="shared" si="50"/>
        <v>3196.1980000000003</v>
      </c>
      <c r="R132" s="36">
        <f t="shared" si="60"/>
        <v>3061.8389999999999</v>
      </c>
      <c r="S132" s="83"/>
      <c r="T132" s="36">
        <f t="shared" si="37"/>
        <v>11880.723000000002</v>
      </c>
      <c r="U132" s="36">
        <f t="shared" si="46"/>
        <v>12115.451000000001</v>
      </c>
      <c r="V132" s="89"/>
    </row>
    <row r="133" spans="1:22" x14ac:dyDescent="0.2">
      <c r="A133" s="76">
        <v>2017</v>
      </c>
      <c r="B133" s="36">
        <f t="shared" ref="B133:M133" si="62">B31+B65+B99</f>
        <v>895.46100000000001</v>
      </c>
      <c r="C133" s="36">
        <f t="shared" si="62"/>
        <v>921.99200000000008</v>
      </c>
      <c r="D133" s="36">
        <f t="shared" si="62"/>
        <v>1020.8439999999999</v>
      </c>
      <c r="E133" s="36">
        <f t="shared" si="62"/>
        <v>1059.6399999999999</v>
      </c>
      <c r="F133" s="36">
        <f t="shared" si="62"/>
        <v>1051.5159999999998</v>
      </c>
      <c r="G133" s="36">
        <f t="shared" si="62"/>
        <v>978.74500000000012</v>
      </c>
      <c r="H133" s="36">
        <f t="shared" si="62"/>
        <v>1022.386</v>
      </c>
      <c r="I133" s="36">
        <f t="shared" si="62"/>
        <v>1130.393</v>
      </c>
      <c r="J133" s="36">
        <f t="shared" si="62"/>
        <v>959.21299999999997</v>
      </c>
      <c r="K133" s="36">
        <f t="shared" si="62"/>
        <v>1173.6129999999998</v>
      </c>
      <c r="L133" s="36">
        <f t="shared" si="62"/>
        <v>942.83600000000013</v>
      </c>
      <c r="M133" s="36">
        <f t="shared" si="62"/>
        <v>926.09900000000005</v>
      </c>
      <c r="N133" s="37"/>
      <c r="O133" s="36">
        <f t="shared" ref="O133:O140" si="63">SUM(B133:D133)</f>
        <v>2838.297</v>
      </c>
      <c r="P133" s="36">
        <f t="shared" ref="P133:P140" si="64">SUM(E133:G133)</f>
        <v>3089.9009999999998</v>
      </c>
      <c r="Q133" s="36">
        <f t="shared" si="50"/>
        <v>3111.9920000000002</v>
      </c>
      <c r="R133" s="36">
        <f t="shared" si="60"/>
        <v>3042.5480000000002</v>
      </c>
      <c r="S133" s="83"/>
      <c r="T133" s="36">
        <f t="shared" ref="T133:T138" si="65">R132+O133+P133+Q133</f>
        <v>12102.029</v>
      </c>
      <c r="U133" s="36">
        <f t="shared" si="46"/>
        <v>12082.738000000001</v>
      </c>
    </row>
    <row r="134" spans="1:22" x14ac:dyDescent="0.2">
      <c r="A134" s="76">
        <v>2018</v>
      </c>
      <c r="B134" s="36">
        <f t="shared" ref="B134:M134" si="66">B32+B66+B100</f>
        <v>1025.3150000000001</v>
      </c>
      <c r="C134" s="36">
        <f t="shared" si="66"/>
        <v>775.96</v>
      </c>
      <c r="D134" s="36">
        <f t="shared" si="66"/>
        <v>1089.838</v>
      </c>
      <c r="E134" s="36">
        <f t="shared" si="66"/>
        <v>926.31500000000005</v>
      </c>
      <c r="F134" s="36">
        <f t="shared" si="66"/>
        <v>1028.296</v>
      </c>
      <c r="G134" s="36">
        <f t="shared" si="66"/>
        <v>965.70799999999997</v>
      </c>
      <c r="H134" s="36">
        <f t="shared" si="66"/>
        <v>1133.4459999999999</v>
      </c>
      <c r="I134" s="36">
        <f t="shared" si="66"/>
        <v>1049.3430000000001</v>
      </c>
      <c r="J134" s="36">
        <f t="shared" si="66"/>
        <v>1011.2220000000001</v>
      </c>
      <c r="K134" s="36">
        <f t="shared" si="66"/>
        <v>1158.2679999999998</v>
      </c>
      <c r="L134" s="36">
        <f t="shared" si="66"/>
        <v>1027.9669999999999</v>
      </c>
      <c r="M134" s="36">
        <f t="shared" si="66"/>
        <v>852.92199999999991</v>
      </c>
      <c r="N134" s="37"/>
      <c r="O134" s="36">
        <f t="shared" si="63"/>
        <v>2891.1130000000003</v>
      </c>
      <c r="P134" s="36">
        <f t="shared" si="64"/>
        <v>2920.319</v>
      </c>
      <c r="Q134" s="36">
        <f t="shared" ref="Q134:Q140" si="67">SUM(H134:J134)</f>
        <v>3194.011</v>
      </c>
      <c r="R134" s="36">
        <f t="shared" si="60"/>
        <v>3039.1569999999997</v>
      </c>
      <c r="S134" s="83"/>
      <c r="T134" s="36">
        <f t="shared" si="65"/>
        <v>12047.991</v>
      </c>
      <c r="U134" s="36">
        <f t="shared" ref="U134:U139" si="68">SUM(O134:R134)</f>
        <v>12044.6</v>
      </c>
    </row>
    <row r="135" spans="1:22" x14ac:dyDescent="0.2">
      <c r="A135" s="76">
        <v>2019</v>
      </c>
      <c r="B135" s="36">
        <f t="shared" ref="B135:M135" si="69">B33+B67+B101</f>
        <v>957.13400000000001</v>
      </c>
      <c r="C135" s="36">
        <f t="shared" si="69"/>
        <v>909.96500000000003</v>
      </c>
      <c r="D135" s="36">
        <f t="shared" si="69"/>
        <v>1038.0710000000001</v>
      </c>
      <c r="E135" s="36">
        <f t="shared" si="69"/>
        <v>1057.1180000000002</v>
      </c>
      <c r="F135" s="36">
        <f t="shared" si="69"/>
        <v>937.87599999999998</v>
      </c>
      <c r="G135" s="36">
        <f t="shared" si="69"/>
        <v>1031.6560000000002</v>
      </c>
      <c r="H135" s="36">
        <f t="shared" si="69"/>
        <v>1037.3889999999999</v>
      </c>
      <c r="I135" s="89">
        <f t="shared" si="69"/>
        <v>1031.155</v>
      </c>
      <c r="J135" s="99">
        <f t="shared" si="69"/>
        <v>1066.135</v>
      </c>
      <c r="K135" s="36">
        <f t="shared" si="69"/>
        <v>1192.5719999999999</v>
      </c>
      <c r="L135" s="36">
        <f t="shared" si="69"/>
        <v>973.36799999999994</v>
      </c>
      <c r="M135" s="36">
        <f t="shared" si="69"/>
        <v>829.08800000000008</v>
      </c>
      <c r="N135" s="37"/>
      <c r="O135" s="36">
        <f t="shared" si="63"/>
        <v>2905.17</v>
      </c>
      <c r="P135" s="36">
        <f t="shared" si="64"/>
        <v>3026.6500000000005</v>
      </c>
      <c r="Q135" s="36">
        <f t="shared" si="67"/>
        <v>3134.6790000000001</v>
      </c>
      <c r="R135" s="36">
        <f t="shared" si="60"/>
        <v>2995.0279999999998</v>
      </c>
      <c r="S135" s="83"/>
      <c r="T135" s="36">
        <f t="shared" si="65"/>
        <v>12105.655999999999</v>
      </c>
      <c r="U135" s="36">
        <f t="shared" si="68"/>
        <v>12061.527</v>
      </c>
    </row>
    <row r="136" spans="1:22" x14ac:dyDescent="0.2">
      <c r="A136" s="76">
        <v>2020</v>
      </c>
      <c r="B136" s="36">
        <f t="shared" ref="B136:M136" si="70">B34+B68+B102</f>
        <v>1012.519</v>
      </c>
      <c r="C136" s="36">
        <f t="shared" si="70"/>
        <v>921.58899999999994</v>
      </c>
      <c r="D136" s="36">
        <f t="shared" si="70"/>
        <v>1161.5600000000002</v>
      </c>
      <c r="E136" s="36">
        <f t="shared" si="70"/>
        <v>1069.8920000000001</v>
      </c>
      <c r="F136" s="36">
        <f t="shared" si="70"/>
        <v>911.01900000000001</v>
      </c>
      <c r="G136" s="36">
        <f t="shared" si="70"/>
        <v>962.74200000000008</v>
      </c>
      <c r="H136" s="36">
        <f t="shared" si="70"/>
        <v>1018.804</v>
      </c>
      <c r="I136" s="36">
        <f t="shared" si="70"/>
        <v>1049.2449999999999</v>
      </c>
      <c r="J136" s="36">
        <f t="shared" si="70"/>
        <v>1147.721</v>
      </c>
      <c r="K136" s="36">
        <f t="shared" si="70"/>
        <v>1095.019</v>
      </c>
      <c r="L136" s="36">
        <f t="shared" si="70"/>
        <v>999.51</v>
      </c>
      <c r="M136" s="36">
        <f t="shared" si="70"/>
        <v>832.27700000000004</v>
      </c>
      <c r="N136" s="37"/>
      <c r="O136" s="36">
        <f t="shared" si="63"/>
        <v>3095.6680000000001</v>
      </c>
      <c r="P136" s="36">
        <f t="shared" si="64"/>
        <v>2943.6530000000002</v>
      </c>
      <c r="Q136" s="36">
        <f t="shared" si="67"/>
        <v>3215.77</v>
      </c>
      <c r="R136" s="36">
        <f t="shared" si="60"/>
        <v>2926.806</v>
      </c>
      <c r="S136" s="83"/>
      <c r="T136" s="36">
        <f t="shared" si="65"/>
        <v>12250.119000000001</v>
      </c>
      <c r="U136" s="36">
        <f t="shared" si="68"/>
        <v>12181.897000000001</v>
      </c>
    </row>
    <row r="137" spans="1:22" x14ac:dyDescent="0.2">
      <c r="A137" s="76">
        <v>2021</v>
      </c>
      <c r="B137" s="36">
        <f t="shared" ref="B137:M137" si="71">B35+B69+B103</f>
        <v>957.31899999999996</v>
      </c>
      <c r="C137" s="36">
        <f t="shared" si="71"/>
        <v>935.42200000000003</v>
      </c>
      <c r="D137" s="36">
        <f t="shared" si="71"/>
        <v>1036.5409999999999</v>
      </c>
      <c r="E137" s="36">
        <f t="shared" si="71"/>
        <v>1065.1320000000001</v>
      </c>
      <c r="F137" s="36">
        <f t="shared" si="71"/>
        <v>1088.7089999999998</v>
      </c>
      <c r="G137" s="36">
        <f t="shared" si="71"/>
        <v>1004.2629999999999</v>
      </c>
      <c r="H137" s="36">
        <f t="shared" si="71"/>
        <v>1106.703</v>
      </c>
      <c r="I137" s="36">
        <f t="shared" si="71"/>
        <v>1049.961</v>
      </c>
      <c r="J137" s="36">
        <f t="shared" si="71"/>
        <v>990.27199999999993</v>
      </c>
      <c r="K137" s="38">
        <f t="shared" si="71"/>
        <v>1253.8910000000001</v>
      </c>
      <c r="L137" s="38">
        <f t="shared" si="71"/>
        <v>989.48900000000003</v>
      </c>
      <c r="M137" s="38">
        <f t="shared" si="71"/>
        <v>946.04</v>
      </c>
      <c r="N137" s="37"/>
      <c r="O137" s="36">
        <f t="shared" si="63"/>
        <v>2929.2820000000002</v>
      </c>
      <c r="P137" s="36">
        <f t="shared" si="64"/>
        <v>3158.1039999999998</v>
      </c>
      <c r="Q137" s="36">
        <f t="shared" si="67"/>
        <v>3146.9359999999997</v>
      </c>
      <c r="R137" s="36">
        <f>SUM(K137:M137)</f>
        <v>3189.42</v>
      </c>
      <c r="S137" s="83"/>
      <c r="T137" s="36">
        <f t="shared" si="65"/>
        <v>12161.127999999999</v>
      </c>
      <c r="U137" s="36">
        <f t="shared" si="68"/>
        <v>12423.742</v>
      </c>
    </row>
    <row r="138" spans="1:22" x14ac:dyDescent="0.2">
      <c r="A138" s="76">
        <v>2022</v>
      </c>
      <c r="B138" s="36">
        <f t="shared" ref="B138:M138" si="72">B36+B70+B104</f>
        <v>927.16500000000008</v>
      </c>
      <c r="C138" s="36">
        <f t="shared" si="72"/>
        <v>985.01099999999997</v>
      </c>
      <c r="D138" s="36">
        <f t="shared" si="72"/>
        <v>1076.3880000000001</v>
      </c>
      <c r="E138" s="36">
        <f t="shared" si="72"/>
        <v>1056.1689999999999</v>
      </c>
      <c r="F138" s="36">
        <f t="shared" si="72"/>
        <v>1084.105</v>
      </c>
      <c r="G138" s="36">
        <f t="shared" si="72"/>
        <v>1010.807</v>
      </c>
      <c r="H138" s="36">
        <f t="shared" si="72"/>
        <v>1046.182</v>
      </c>
      <c r="I138" s="36">
        <f t="shared" si="72"/>
        <v>1117.9969999999998</v>
      </c>
      <c r="J138" s="36">
        <f t="shared" si="72"/>
        <v>976.91100000000006</v>
      </c>
      <c r="K138" s="38">
        <f t="shared" si="72"/>
        <v>1240.8400000000001</v>
      </c>
      <c r="L138" s="38">
        <f t="shared" si="72"/>
        <v>926.81299999999999</v>
      </c>
      <c r="M138" s="38">
        <f t="shared" si="72"/>
        <v>975.00099999999998</v>
      </c>
      <c r="N138" s="83"/>
      <c r="O138" s="36">
        <f t="shared" si="63"/>
        <v>2988.5640000000003</v>
      </c>
      <c r="P138" s="36">
        <f t="shared" si="64"/>
        <v>3151.0810000000001</v>
      </c>
      <c r="Q138" s="36">
        <f t="shared" si="67"/>
        <v>3141.09</v>
      </c>
      <c r="R138" s="36">
        <f>SUM(K138:M138)</f>
        <v>3142.6540000000005</v>
      </c>
      <c r="S138" s="83"/>
      <c r="T138" s="36">
        <f t="shared" si="65"/>
        <v>12470.155000000001</v>
      </c>
      <c r="U138" s="36">
        <f t="shared" si="68"/>
        <v>12423.389000000001</v>
      </c>
    </row>
    <row r="139" spans="1:22" x14ac:dyDescent="0.2">
      <c r="A139" s="76">
        <v>2023</v>
      </c>
      <c r="B139" s="36">
        <f t="shared" ref="B139:M140" si="73">B37+B71+B105</f>
        <v>1030.3330000000001</v>
      </c>
      <c r="C139" s="36">
        <f t="shared" si="73"/>
        <v>987.85299999999995</v>
      </c>
      <c r="D139" s="36">
        <f t="shared" si="73"/>
        <v>1083.7930000000001</v>
      </c>
      <c r="E139" s="36">
        <f t="shared" si="73"/>
        <v>1032.0940000000001</v>
      </c>
      <c r="F139" s="36">
        <f t="shared" si="73"/>
        <v>1008.885</v>
      </c>
      <c r="G139" s="36">
        <f t="shared" si="73"/>
        <v>1028.0430000000001</v>
      </c>
      <c r="H139" s="36">
        <f t="shared" si="73"/>
        <v>986.97799999999995</v>
      </c>
      <c r="I139" s="38">
        <f t="shared" si="73"/>
        <v>1087.2909999999999</v>
      </c>
      <c r="J139" s="36">
        <f t="shared" si="73"/>
        <v>1085.451</v>
      </c>
      <c r="K139" s="38">
        <f t="shared" si="73"/>
        <v>1142.115</v>
      </c>
      <c r="L139" s="38">
        <f t="shared" si="73"/>
        <v>943.71400000000006</v>
      </c>
      <c r="M139" s="38">
        <f t="shared" si="73"/>
        <v>920.51099999999997</v>
      </c>
      <c r="N139" s="83"/>
      <c r="O139" s="36">
        <f t="shared" si="63"/>
        <v>3101.9790000000003</v>
      </c>
      <c r="P139" s="36">
        <f t="shared" si="64"/>
        <v>3069.0219999999999</v>
      </c>
      <c r="Q139" s="36">
        <f t="shared" si="67"/>
        <v>3159.72</v>
      </c>
      <c r="R139" s="36">
        <f>SUM(K139:M139)</f>
        <v>3006.34</v>
      </c>
      <c r="S139" s="83"/>
      <c r="T139" s="36">
        <f t="shared" ref="T139:T140" si="74">R138+O139+P139+Q139</f>
        <v>12473.375</v>
      </c>
      <c r="U139" s="36">
        <f t="shared" si="68"/>
        <v>12337.061</v>
      </c>
    </row>
    <row r="140" spans="1:22" x14ac:dyDescent="0.2">
      <c r="A140" s="76">
        <v>2024</v>
      </c>
      <c r="B140" s="36">
        <f>B38+B72+B106</f>
        <v>1035.797</v>
      </c>
      <c r="C140" s="36">
        <f t="shared" si="73"/>
        <v>947.04399999999998</v>
      </c>
      <c r="D140" s="36">
        <f t="shared" si="73"/>
        <v>1049.346</v>
      </c>
      <c r="E140" s="36">
        <f t="shared" si="73"/>
        <v>1090.5350000000001</v>
      </c>
      <c r="F140" s="36">
        <f t="shared" si="73"/>
        <v>1033.729</v>
      </c>
      <c r="G140" s="36">
        <f t="shared" si="73"/>
        <v>915.17900000000009</v>
      </c>
      <c r="H140" s="36">
        <f t="shared" si="73"/>
        <v>1048.4369999999999</v>
      </c>
      <c r="I140" s="38">
        <f t="shared" si="73"/>
        <v>1072.1030000000001</v>
      </c>
      <c r="J140" s="36">
        <f t="shared" si="73"/>
        <v>1200.662</v>
      </c>
      <c r="K140" s="38">
        <f t="shared" si="73"/>
        <v>983.71400000000006</v>
      </c>
      <c r="L140" s="38">
        <f t="shared" si="73"/>
        <v>995.05500000000006</v>
      </c>
      <c r="M140" s="38" t="s">
        <v>152</v>
      </c>
      <c r="N140" s="83"/>
      <c r="O140" s="36">
        <f t="shared" si="63"/>
        <v>3032.1869999999999</v>
      </c>
      <c r="P140" s="36">
        <f t="shared" si="64"/>
        <v>3039.4430000000002</v>
      </c>
      <c r="Q140" s="36">
        <f t="shared" si="67"/>
        <v>3321.2020000000002</v>
      </c>
      <c r="R140" s="38" t="s">
        <v>152</v>
      </c>
      <c r="S140" s="83"/>
      <c r="T140" s="36">
        <f t="shared" si="74"/>
        <v>12399.172000000002</v>
      </c>
      <c r="U140" s="38" t="s">
        <v>152</v>
      </c>
    </row>
    <row r="141" spans="1:22" x14ac:dyDescent="0.2">
      <c r="A141" s="36" t="s">
        <v>354</v>
      </c>
      <c r="B141" s="37"/>
      <c r="C141" s="37"/>
      <c r="D141" s="37"/>
      <c r="E141" s="37"/>
      <c r="F141" s="37"/>
      <c r="G141" s="37"/>
      <c r="H141" s="37"/>
      <c r="I141" s="37"/>
      <c r="J141" s="37"/>
      <c r="K141" s="37"/>
      <c r="L141" s="37"/>
      <c r="M141" s="37"/>
      <c r="N141" s="83"/>
      <c r="O141" s="36"/>
      <c r="P141" s="36"/>
      <c r="Q141" s="36"/>
      <c r="R141" s="36"/>
      <c r="S141" s="83"/>
      <c r="T141" s="36"/>
      <c r="U141" s="36"/>
    </row>
    <row r="142" spans="1:22" x14ac:dyDescent="0.2">
      <c r="A142" s="76">
        <v>1992</v>
      </c>
      <c r="B142" s="38">
        <v>7.5940000000000003</v>
      </c>
      <c r="C142" s="38">
        <v>6.069</v>
      </c>
      <c r="D142" s="38">
        <v>5.1619999999999999</v>
      </c>
      <c r="E142" s="38">
        <v>6.1040000000000001</v>
      </c>
      <c r="F142" s="38">
        <v>9.98</v>
      </c>
      <c r="G142" s="38">
        <v>9.4849999999999994</v>
      </c>
      <c r="H142" s="38">
        <v>6.375</v>
      </c>
      <c r="I142" s="38">
        <v>8.327</v>
      </c>
      <c r="J142" s="38">
        <v>8.3019999999999996</v>
      </c>
      <c r="K142" s="38">
        <v>10.366</v>
      </c>
      <c r="L142" s="38">
        <v>8.1150000000000002</v>
      </c>
      <c r="M142" s="38">
        <v>7.2919999999999998</v>
      </c>
      <c r="N142" s="83"/>
      <c r="O142" s="36">
        <f t="shared" ref="O142:O152" si="75">SUM(B142:D142)</f>
        <v>18.824999999999999</v>
      </c>
      <c r="P142" s="36">
        <f t="shared" ref="P142:P174" si="76">SUM(E142:G142)</f>
        <v>25.568999999999999</v>
      </c>
      <c r="Q142" s="36">
        <f t="shared" ref="Q142:Q170" si="77">SUM(H142:J142)</f>
        <v>23.003999999999998</v>
      </c>
      <c r="R142" s="36">
        <f t="shared" ref="R142:R170" si="78">SUM(K142:M142)</f>
        <v>25.773000000000003</v>
      </c>
      <c r="S142" s="83"/>
      <c r="T142" s="36">
        <v>86.49199999999999</v>
      </c>
      <c r="U142" s="36">
        <f t="shared" ref="U142:U170" si="79">SUM(O142:R142)</f>
        <v>93.170999999999992</v>
      </c>
    </row>
    <row r="143" spans="1:22" x14ac:dyDescent="0.2">
      <c r="A143" s="76">
        <v>1993</v>
      </c>
      <c r="B143" s="38">
        <v>9.9260000000000002</v>
      </c>
      <c r="C143" s="38">
        <v>4.0330000000000004</v>
      </c>
      <c r="D143" s="38">
        <v>9.1999999999999993</v>
      </c>
      <c r="E143" s="38">
        <v>7.2240000000000002</v>
      </c>
      <c r="F143" s="38">
        <v>6.8780000000000001</v>
      </c>
      <c r="G143" s="38">
        <v>11.691000000000001</v>
      </c>
      <c r="H143" s="38">
        <v>14.393000000000001</v>
      </c>
      <c r="I143" s="38">
        <v>22.463000000000001</v>
      </c>
      <c r="J143" s="38">
        <v>19.956</v>
      </c>
      <c r="K143" s="38">
        <v>7.9560000000000004</v>
      </c>
      <c r="L143" s="38">
        <v>8.15</v>
      </c>
      <c r="M143" s="38">
        <v>7.48</v>
      </c>
      <c r="N143" s="83"/>
      <c r="O143" s="36">
        <f t="shared" si="75"/>
        <v>23.158999999999999</v>
      </c>
      <c r="P143" s="36">
        <f t="shared" si="76"/>
        <v>25.792999999999999</v>
      </c>
      <c r="Q143" s="36">
        <f t="shared" si="77"/>
        <v>56.811999999999998</v>
      </c>
      <c r="R143" s="36">
        <f t="shared" si="78"/>
        <v>23.586000000000002</v>
      </c>
      <c r="S143" s="83"/>
      <c r="T143" s="36">
        <f t="shared" ref="T143:T170" si="80">R142+O143+P143+Q143</f>
        <v>131.53699999999998</v>
      </c>
      <c r="U143" s="36">
        <f t="shared" si="79"/>
        <v>129.35</v>
      </c>
    </row>
    <row r="144" spans="1:22" x14ac:dyDescent="0.2">
      <c r="A144" s="76">
        <v>1994</v>
      </c>
      <c r="B144" s="38">
        <v>6.9349999999999996</v>
      </c>
      <c r="C144" s="38">
        <v>6.7080000000000002</v>
      </c>
      <c r="D144" s="38">
        <v>6.7930000000000001</v>
      </c>
      <c r="E144" s="38">
        <v>8.8119999999999994</v>
      </c>
      <c r="F144" s="38">
        <v>15.4</v>
      </c>
      <c r="G144" s="38">
        <v>14.763999999999999</v>
      </c>
      <c r="H144" s="38">
        <v>10.041</v>
      </c>
      <c r="I144" s="38">
        <v>16.594000000000001</v>
      </c>
      <c r="J144" s="38">
        <v>16.905000000000001</v>
      </c>
      <c r="K144" s="38">
        <v>11.858000000000001</v>
      </c>
      <c r="L144" s="38">
        <v>11.317</v>
      </c>
      <c r="M144" s="38">
        <v>4.6420000000000003</v>
      </c>
      <c r="N144" s="83"/>
      <c r="O144" s="36">
        <f t="shared" si="75"/>
        <v>20.436</v>
      </c>
      <c r="P144" s="36">
        <f t="shared" si="76"/>
        <v>38.975999999999999</v>
      </c>
      <c r="Q144" s="36">
        <f t="shared" si="77"/>
        <v>43.540000000000006</v>
      </c>
      <c r="R144" s="36">
        <f t="shared" si="78"/>
        <v>27.817</v>
      </c>
      <c r="S144" s="83"/>
      <c r="T144" s="36">
        <f t="shared" si="80"/>
        <v>126.53800000000001</v>
      </c>
      <c r="U144" s="36">
        <f t="shared" si="79"/>
        <v>130.76900000000001</v>
      </c>
    </row>
    <row r="145" spans="1:21" x14ac:dyDescent="0.2">
      <c r="A145" s="86">
        <v>1995</v>
      </c>
      <c r="B145" s="38">
        <v>2.9049999999999998</v>
      </c>
      <c r="C145" s="38">
        <v>7.31</v>
      </c>
      <c r="D145" s="38">
        <v>7.44</v>
      </c>
      <c r="E145" s="38">
        <v>7.6379999999999999</v>
      </c>
      <c r="F145" s="38">
        <v>3.8330000000000002</v>
      </c>
      <c r="G145" s="38">
        <v>7.0049999999999999</v>
      </c>
      <c r="H145" s="38">
        <v>15.438000000000001</v>
      </c>
      <c r="I145" s="38">
        <v>17.788</v>
      </c>
      <c r="J145" s="38">
        <v>5.3520000000000003</v>
      </c>
      <c r="K145" s="38">
        <v>6.4569999999999999</v>
      </c>
      <c r="L145" s="38">
        <v>7.7939999999999996</v>
      </c>
      <c r="M145" s="38">
        <v>6.8289999999999997</v>
      </c>
      <c r="N145" s="83"/>
      <c r="O145" s="36">
        <f t="shared" si="75"/>
        <v>17.655000000000001</v>
      </c>
      <c r="P145" s="36">
        <f t="shared" si="76"/>
        <v>18.475999999999999</v>
      </c>
      <c r="Q145" s="36">
        <f t="shared" si="77"/>
        <v>38.578000000000003</v>
      </c>
      <c r="R145" s="36">
        <f t="shared" si="78"/>
        <v>21.08</v>
      </c>
      <c r="S145" s="83"/>
      <c r="T145" s="36">
        <f t="shared" si="80"/>
        <v>102.52600000000001</v>
      </c>
      <c r="U145" s="36">
        <f t="shared" si="79"/>
        <v>95.789000000000001</v>
      </c>
    </row>
    <row r="146" spans="1:21" x14ac:dyDescent="0.2">
      <c r="A146" s="86">
        <v>1996</v>
      </c>
      <c r="B146" s="38">
        <v>5.282</v>
      </c>
      <c r="C146" s="38">
        <v>4.75</v>
      </c>
      <c r="D146" s="38">
        <v>10.16</v>
      </c>
      <c r="E146" s="38">
        <v>14.233000000000001</v>
      </c>
      <c r="F146" s="38">
        <v>8.3870000000000005</v>
      </c>
      <c r="G146" s="38">
        <v>7.8339999999999996</v>
      </c>
      <c r="H146" s="38">
        <v>7.5819999999999999</v>
      </c>
      <c r="I146" s="38">
        <v>13.201000000000001</v>
      </c>
      <c r="J146" s="38">
        <v>11.026</v>
      </c>
      <c r="K146" s="38">
        <v>8.6129999999999995</v>
      </c>
      <c r="L146" s="38">
        <v>7.2880000000000003</v>
      </c>
      <c r="M146" s="38">
        <v>5.7140000000000004</v>
      </c>
      <c r="N146" s="83"/>
      <c r="O146" s="36">
        <f t="shared" si="75"/>
        <v>20.192</v>
      </c>
      <c r="P146" s="36">
        <f t="shared" si="76"/>
        <v>30.454000000000001</v>
      </c>
      <c r="Q146" s="36">
        <f t="shared" si="77"/>
        <v>31.809000000000001</v>
      </c>
      <c r="R146" s="36">
        <f t="shared" si="78"/>
        <v>21.615000000000002</v>
      </c>
      <c r="S146" s="83"/>
      <c r="T146" s="36">
        <f t="shared" si="80"/>
        <v>103.535</v>
      </c>
      <c r="U146" s="36">
        <f t="shared" si="79"/>
        <v>104.07</v>
      </c>
    </row>
    <row r="147" spans="1:21" x14ac:dyDescent="0.2">
      <c r="A147" s="86">
        <v>1997</v>
      </c>
      <c r="B147" s="38">
        <v>32.459000000000003</v>
      </c>
      <c r="C147" s="38">
        <v>30.013999999999999</v>
      </c>
      <c r="D147" s="38">
        <v>5.7549999999999999</v>
      </c>
      <c r="E147" s="38">
        <v>5.7439999999999998</v>
      </c>
      <c r="F147" s="38">
        <v>6.5289999999999999</v>
      </c>
      <c r="G147" s="38">
        <v>9.8279999999999994</v>
      </c>
      <c r="H147" s="38">
        <v>11.791</v>
      </c>
      <c r="I147" s="38">
        <v>15.888999999999999</v>
      </c>
      <c r="J147" s="38">
        <v>16.911000000000001</v>
      </c>
      <c r="K147" s="38">
        <v>7.44</v>
      </c>
      <c r="L147" s="38">
        <v>5.7380000000000004</v>
      </c>
      <c r="M147" s="38">
        <v>8.0549999999999997</v>
      </c>
      <c r="N147" s="83"/>
      <c r="O147" s="36">
        <f t="shared" si="75"/>
        <v>68.227999999999994</v>
      </c>
      <c r="P147" s="36">
        <f t="shared" si="76"/>
        <v>22.100999999999999</v>
      </c>
      <c r="Q147" s="36">
        <f t="shared" si="77"/>
        <v>44.591000000000001</v>
      </c>
      <c r="R147" s="36">
        <f t="shared" si="78"/>
        <v>21.233000000000001</v>
      </c>
      <c r="S147" s="83"/>
      <c r="T147" s="36">
        <f t="shared" si="80"/>
        <v>156.535</v>
      </c>
      <c r="U147" s="36">
        <f t="shared" si="79"/>
        <v>156.15299999999999</v>
      </c>
    </row>
    <row r="148" spans="1:21" x14ac:dyDescent="0.2">
      <c r="A148" s="86">
        <v>1998</v>
      </c>
      <c r="B148" s="38">
        <v>6.1639999999999997</v>
      </c>
      <c r="C148" s="38">
        <v>8.7690000000000001</v>
      </c>
      <c r="D148" s="38">
        <v>9.1839999999999993</v>
      </c>
      <c r="E148" s="38">
        <v>11.71</v>
      </c>
      <c r="F148" s="38">
        <v>10.273</v>
      </c>
      <c r="G148" s="38">
        <v>9.99</v>
      </c>
      <c r="H148" s="38">
        <v>14.436</v>
      </c>
      <c r="I148" s="38">
        <v>14.904</v>
      </c>
      <c r="J148" s="38">
        <v>16.488</v>
      </c>
      <c r="K148" s="38">
        <v>18.291</v>
      </c>
      <c r="L148" s="38">
        <v>15.478</v>
      </c>
      <c r="M148" s="38">
        <v>10.505000000000001</v>
      </c>
      <c r="N148" s="83"/>
      <c r="O148" s="36">
        <f t="shared" si="75"/>
        <v>24.116999999999997</v>
      </c>
      <c r="P148" s="36">
        <f t="shared" si="76"/>
        <v>31.972999999999999</v>
      </c>
      <c r="Q148" s="36">
        <f t="shared" si="77"/>
        <v>45.828000000000003</v>
      </c>
      <c r="R148" s="36">
        <f t="shared" si="78"/>
        <v>44.274000000000001</v>
      </c>
      <c r="S148" s="83"/>
      <c r="T148" s="36">
        <f t="shared" si="80"/>
        <v>123.151</v>
      </c>
      <c r="U148" s="36">
        <f t="shared" si="79"/>
        <v>146.19200000000001</v>
      </c>
    </row>
    <row r="149" spans="1:21" x14ac:dyDescent="0.2">
      <c r="A149" s="86">
        <v>1999</v>
      </c>
      <c r="B149" s="38">
        <v>26.434999999999999</v>
      </c>
      <c r="C149" s="38">
        <v>19.337</v>
      </c>
      <c r="D149" s="38">
        <v>11.96</v>
      </c>
      <c r="E149" s="38">
        <v>13.542999999999999</v>
      </c>
      <c r="F149" s="38">
        <v>11.314</v>
      </c>
      <c r="G149" s="38">
        <v>10.222</v>
      </c>
      <c r="H149" s="38">
        <v>14.507</v>
      </c>
      <c r="I149" s="38">
        <v>9.6880000000000006</v>
      </c>
      <c r="J149" s="38">
        <v>7.431</v>
      </c>
      <c r="K149" s="38">
        <v>8.5960000000000001</v>
      </c>
      <c r="L149" s="38">
        <v>5.415</v>
      </c>
      <c r="M149" s="38">
        <v>6.7949999999999999</v>
      </c>
      <c r="N149" s="83"/>
      <c r="O149" s="36">
        <f t="shared" si="75"/>
        <v>57.731999999999999</v>
      </c>
      <c r="P149" s="36">
        <f t="shared" si="76"/>
        <v>35.079000000000001</v>
      </c>
      <c r="Q149" s="36">
        <f t="shared" si="77"/>
        <v>31.626000000000001</v>
      </c>
      <c r="R149" s="36">
        <f t="shared" si="78"/>
        <v>20.805999999999997</v>
      </c>
      <c r="S149" s="83"/>
      <c r="T149" s="36">
        <f t="shared" si="80"/>
        <v>168.71100000000001</v>
      </c>
      <c r="U149" s="36">
        <f t="shared" si="79"/>
        <v>145.24299999999999</v>
      </c>
    </row>
    <row r="150" spans="1:21" x14ac:dyDescent="0.2">
      <c r="A150" s="76">
        <v>2000</v>
      </c>
      <c r="B150" s="38">
        <v>6.6260000000000003</v>
      </c>
      <c r="C150" s="38">
        <v>7.3780000000000001</v>
      </c>
      <c r="D150" s="38">
        <v>7.2069999999999999</v>
      </c>
      <c r="E150" s="38">
        <v>7.226</v>
      </c>
      <c r="F150" s="38">
        <v>7.6020000000000003</v>
      </c>
      <c r="G150" s="38">
        <v>7.0369999999999999</v>
      </c>
      <c r="H150" s="38">
        <v>6.2549999999999999</v>
      </c>
      <c r="I150" s="38">
        <v>10.746</v>
      </c>
      <c r="J150" s="38">
        <v>5.4169999999999998</v>
      </c>
      <c r="K150" s="38">
        <v>5.5739999999999998</v>
      </c>
      <c r="L150" s="38">
        <v>5.9329999999999998</v>
      </c>
      <c r="M150" s="38">
        <v>6.6319999999999997</v>
      </c>
      <c r="N150" s="83"/>
      <c r="O150" s="36">
        <f t="shared" si="75"/>
        <v>21.211000000000002</v>
      </c>
      <c r="P150" s="36">
        <f t="shared" si="76"/>
        <v>21.864999999999998</v>
      </c>
      <c r="Q150" s="36">
        <f t="shared" si="77"/>
        <v>22.417999999999999</v>
      </c>
      <c r="R150" s="36">
        <f t="shared" si="78"/>
        <v>18.138999999999999</v>
      </c>
      <c r="S150" s="83"/>
      <c r="T150" s="36">
        <f t="shared" si="80"/>
        <v>86.299999999999983</v>
      </c>
      <c r="U150" s="36">
        <f t="shared" si="79"/>
        <v>83.632999999999996</v>
      </c>
    </row>
    <row r="151" spans="1:21" x14ac:dyDescent="0.2">
      <c r="A151" s="82">
        <v>2001</v>
      </c>
      <c r="B151" s="38">
        <v>7.8559999999999999</v>
      </c>
      <c r="C151" s="38">
        <v>5.2670000000000003</v>
      </c>
      <c r="D151" s="38">
        <v>7.9379999999999997</v>
      </c>
      <c r="E151" s="38">
        <v>8.7379999999999995</v>
      </c>
      <c r="F151" s="38">
        <v>10.029</v>
      </c>
      <c r="G151" s="38">
        <v>10.058999999999999</v>
      </c>
      <c r="H151" s="38">
        <v>11.048</v>
      </c>
      <c r="I151" s="38">
        <v>11.038</v>
      </c>
      <c r="J151" s="38">
        <v>8.3140000000000001</v>
      </c>
      <c r="K151" s="38">
        <v>10.313000000000001</v>
      </c>
      <c r="L151" s="38">
        <v>16.456</v>
      </c>
      <c r="M151" s="38">
        <v>13.071</v>
      </c>
      <c r="N151" s="83"/>
      <c r="O151" s="36">
        <f t="shared" si="75"/>
        <v>21.061</v>
      </c>
      <c r="P151" s="36">
        <f t="shared" si="76"/>
        <v>28.826000000000001</v>
      </c>
      <c r="Q151" s="36">
        <f t="shared" si="77"/>
        <v>30.4</v>
      </c>
      <c r="R151" s="36">
        <f t="shared" si="78"/>
        <v>39.839999999999996</v>
      </c>
      <c r="S151" s="83"/>
      <c r="T151" s="36">
        <f t="shared" si="80"/>
        <v>98.426000000000016</v>
      </c>
      <c r="U151" s="36">
        <f t="shared" si="79"/>
        <v>120.12700000000001</v>
      </c>
    </row>
    <row r="152" spans="1:21" x14ac:dyDescent="0.2">
      <c r="A152" s="84">
        <v>2002</v>
      </c>
      <c r="B152" s="38">
        <v>14.747</v>
      </c>
      <c r="C152" s="38">
        <v>12.694000000000001</v>
      </c>
      <c r="D152" s="38">
        <v>11.132</v>
      </c>
      <c r="E152" s="38">
        <v>12.215999999999999</v>
      </c>
      <c r="F152" s="38">
        <v>11.888999999999999</v>
      </c>
      <c r="G152" s="38">
        <v>11.334</v>
      </c>
      <c r="H152" s="38">
        <v>12.420999999999999</v>
      </c>
      <c r="I152" s="38">
        <v>14.032</v>
      </c>
      <c r="J152" s="38">
        <v>15.253</v>
      </c>
      <c r="K152" s="38">
        <v>16.681000000000001</v>
      </c>
      <c r="L152" s="38">
        <v>12.045</v>
      </c>
      <c r="M152" s="38">
        <v>13.927</v>
      </c>
      <c r="N152" s="83"/>
      <c r="O152" s="36">
        <f t="shared" si="75"/>
        <v>38.573</v>
      </c>
      <c r="P152" s="36">
        <f t="shared" si="76"/>
        <v>35.438999999999993</v>
      </c>
      <c r="Q152" s="36">
        <f t="shared" si="77"/>
        <v>41.706000000000003</v>
      </c>
      <c r="R152" s="36">
        <f t="shared" si="78"/>
        <v>42.652999999999999</v>
      </c>
      <c r="S152" s="83"/>
      <c r="T152" s="36">
        <f t="shared" si="80"/>
        <v>155.55799999999999</v>
      </c>
      <c r="U152" s="36">
        <f t="shared" si="79"/>
        <v>158.37100000000001</v>
      </c>
    </row>
    <row r="153" spans="1:21" x14ac:dyDescent="0.2">
      <c r="A153" s="84">
        <v>2003</v>
      </c>
      <c r="B153" s="38">
        <v>16.312000000000001</v>
      </c>
      <c r="C153" s="38">
        <v>13.315</v>
      </c>
      <c r="D153" s="38">
        <v>14.275</v>
      </c>
      <c r="E153" s="38">
        <v>13.696</v>
      </c>
      <c r="F153" s="38">
        <v>14.952</v>
      </c>
      <c r="G153" s="38">
        <v>20.239000000000001</v>
      </c>
      <c r="H153" s="38">
        <v>19.170000000000002</v>
      </c>
      <c r="I153" s="38">
        <v>14.984</v>
      </c>
      <c r="J153" s="38">
        <v>13.255000000000001</v>
      </c>
      <c r="K153" s="38">
        <v>15.901</v>
      </c>
      <c r="L153" s="38">
        <v>9.8140000000000001</v>
      </c>
      <c r="M153" s="38">
        <v>9.2650000000000006</v>
      </c>
      <c r="N153" s="83"/>
      <c r="O153" s="36">
        <f>SUM(B153:D153)</f>
        <v>43.902000000000001</v>
      </c>
      <c r="P153" s="36">
        <f t="shared" si="76"/>
        <v>48.887</v>
      </c>
      <c r="Q153" s="36">
        <f t="shared" si="77"/>
        <v>47.409000000000006</v>
      </c>
      <c r="R153" s="36">
        <f t="shared" si="78"/>
        <v>34.980000000000004</v>
      </c>
      <c r="S153" s="83"/>
      <c r="T153" s="36">
        <f t="shared" si="80"/>
        <v>182.851</v>
      </c>
      <c r="U153" s="36">
        <f t="shared" si="79"/>
        <v>175.178</v>
      </c>
    </row>
    <row r="154" spans="1:21" x14ac:dyDescent="0.2">
      <c r="A154" s="84">
        <v>2004</v>
      </c>
      <c r="B154" s="38">
        <v>8.9169999999999998</v>
      </c>
      <c r="C154" s="38">
        <v>10.35</v>
      </c>
      <c r="D154" s="38">
        <v>8.89</v>
      </c>
      <c r="E154" s="38">
        <v>10.207000000000001</v>
      </c>
      <c r="F154" s="38">
        <v>17.861999999999998</v>
      </c>
      <c r="G154" s="38">
        <v>11.499000000000001</v>
      </c>
      <c r="H154" s="38">
        <v>12.025</v>
      </c>
      <c r="I154" s="38">
        <v>14.547000000000001</v>
      </c>
      <c r="J154" s="38">
        <v>12.888</v>
      </c>
      <c r="K154" s="38">
        <v>10.125</v>
      </c>
      <c r="L154" s="38">
        <v>8.5779999999999994</v>
      </c>
      <c r="M154" s="38">
        <v>9.109</v>
      </c>
      <c r="N154" s="83"/>
      <c r="O154" s="36">
        <f t="shared" ref="O154:O174" si="81">SUM(B154:D154)</f>
        <v>28.157</v>
      </c>
      <c r="P154" s="36">
        <f t="shared" si="76"/>
        <v>39.567999999999998</v>
      </c>
      <c r="Q154" s="36">
        <f t="shared" si="77"/>
        <v>39.46</v>
      </c>
      <c r="R154" s="36">
        <f t="shared" si="78"/>
        <v>27.811999999999998</v>
      </c>
      <c r="S154" s="83"/>
      <c r="T154" s="36">
        <f t="shared" si="80"/>
        <v>142.16499999999999</v>
      </c>
      <c r="U154" s="36">
        <f t="shared" si="79"/>
        <v>134.99700000000001</v>
      </c>
    </row>
    <row r="155" spans="1:21" x14ac:dyDescent="0.2">
      <c r="A155" s="84">
        <v>2005</v>
      </c>
      <c r="B155" s="38">
        <v>6.8769999999999998</v>
      </c>
      <c r="C155" s="38">
        <v>8.327</v>
      </c>
      <c r="D155" s="38">
        <v>8.5340000000000007</v>
      </c>
      <c r="E155" s="38">
        <v>10.776999999999999</v>
      </c>
      <c r="F155" s="38">
        <v>8.6940000000000008</v>
      </c>
      <c r="G155" s="38">
        <v>17.29</v>
      </c>
      <c r="H155" s="38">
        <v>11.38</v>
      </c>
      <c r="I155" s="38">
        <v>10.534000000000001</v>
      </c>
      <c r="J155" s="38">
        <v>10.648999999999999</v>
      </c>
      <c r="K155" s="38">
        <v>5.5679999999999996</v>
      </c>
      <c r="L155" s="38">
        <v>14.068</v>
      </c>
      <c r="M155" s="38">
        <v>5.7</v>
      </c>
      <c r="N155" s="83"/>
      <c r="O155" s="36">
        <f t="shared" si="81"/>
        <v>23.738</v>
      </c>
      <c r="P155" s="36">
        <f t="shared" si="76"/>
        <v>36.760999999999996</v>
      </c>
      <c r="Q155" s="36">
        <f t="shared" si="77"/>
        <v>32.563000000000002</v>
      </c>
      <c r="R155" s="36">
        <f t="shared" si="78"/>
        <v>25.335999999999999</v>
      </c>
      <c r="S155" s="83"/>
      <c r="T155" s="36">
        <f t="shared" si="80"/>
        <v>120.874</v>
      </c>
      <c r="U155" s="36">
        <f t="shared" si="79"/>
        <v>118.398</v>
      </c>
    </row>
    <row r="156" spans="1:21" x14ac:dyDescent="0.2">
      <c r="A156" s="84">
        <v>2006</v>
      </c>
      <c r="B156" s="38">
        <v>5.87</v>
      </c>
      <c r="C156" s="38">
        <v>10.079000000000001</v>
      </c>
      <c r="D156" s="38">
        <v>8.89</v>
      </c>
      <c r="E156" s="38">
        <v>9.9109999999999996</v>
      </c>
      <c r="F156" s="38">
        <v>5.9210000000000003</v>
      </c>
      <c r="G156" s="38">
        <v>7.22</v>
      </c>
      <c r="H156" s="38">
        <v>7.2809999999999997</v>
      </c>
      <c r="I156" s="38">
        <v>10.089</v>
      </c>
      <c r="J156" s="38">
        <v>14.95</v>
      </c>
      <c r="K156" s="38">
        <v>11.025</v>
      </c>
      <c r="L156" s="38">
        <v>8.0340000000000007</v>
      </c>
      <c r="M156" s="38">
        <v>11.923</v>
      </c>
      <c r="N156" s="83"/>
      <c r="O156" s="36">
        <f t="shared" si="81"/>
        <v>24.839000000000002</v>
      </c>
      <c r="P156" s="36">
        <f t="shared" si="76"/>
        <v>23.052</v>
      </c>
      <c r="Q156" s="36">
        <f t="shared" si="77"/>
        <v>32.32</v>
      </c>
      <c r="R156" s="36">
        <f t="shared" si="78"/>
        <v>30.981999999999999</v>
      </c>
      <c r="S156" s="83"/>
      <c r="T156" s="36">
        <f t="shared" si="80"/>
        <v>105.547</v>
      </c>
      <c r="U156" s="36">
        <f t="shared" si="79"/>
        <v>111.19300000000001</v>
      </c>
    </row>
    <row r="157" spans="1:21" x14ac:dyDescent="0.2">
      <c r="A157" s="84">
        <v>2007</v>
      </c>
      <c r="B157" s="38">
        <v>17.919</v>
      </c>
      <c r="C157" s="38">
        <v>10.856999999999999</v>
      </c>
      <c r="D157" s="38">
        <v>14.352</v>
      </c>
      <c r="E157" s="38">
        <v>16.521000000000001</v>
      </c>
      <c r="F157" s="38">
        <v>22.225000000000001</v>
      </c>
      <c r="G157" s="38">
        <v>16.016999999999999</v>
      </c>
      <c r="H157" s="38">
        <v>15.654</v>
      </c>
      <c r="I157" s="38">
        <v>13.347</v>
      </c>
      <c r="J157" s="38">
        <v>10.704000000000001</v>
      </c>
      <c r="K157" s="38">
        <v>8.3460000000000001</v>
      </c>
      <c r="L157" s="38">
        <v>11.523</v>
      </c>
      <c r="M157" s="38">
        <v>15.571</v>
      </c>
      <c r="N157" s="83"/>
      <c r="O157" s="36">
        <f t="shared" si="81"/>
        <v>43.128</v>
      </c>
      <c r="P157" s="36">
        <f t="shared" si="76"/>
        <v>54.763000000000005</v>
      </c>
      <c r="Q157" s="36">
        <f t="shared" si="77"/>
        <v>39.704999999999998</v>
      </c>
      <c r="R157" s="36">
        <f t="shared" si="78"/>
        <v>35.44</v>
      </c>
      <c r="S157" s="83"/>
      <c r="T157" s="36">
        <f t="shared" si="80"/>
        <v>168.57799999999997</v>
      </c>
      <c r="U157" s="36">
        <f t="shared" si="79"/>
        <v>173.036</v>
      </c>
    </row>
    <row r="158" spans="1:21" x14ac:dyDescent="0.2">
      <c r="A158" s="84">
        <v>2008</v>
      </c>
      <c r="B158" s="38">
        <v>11.388999999999999</v>
      </c>
      <c r="C158" s="38">
        <v>7.2990000000000004</v>
      </c>
      <c r="D158" s="38">
        <v>8.3840000000000003</v>
      </c>
      <c r="E158" s="38">
        <v>14.057</v>
      </c>
      <c r="F158" s="38">
        <v>12.14</v>
      </c>
      <c r="G158" s="38">
        <v>11.087</v>
      </c>
      <c r="H158" s="38">
        <v>16.577999999999999</v>
      </c>
      <c r="I158" s="38">
        <v>9.2680000000000007</v>
      </c>
      <c r="J158" s="38">
        <v>15.449</v>
      </c>
      <c r="K158" s="38">
        <v>8.6370000000000005</v>
      </c>
      <c r="L158" s="38">
        <v>4.1849999999999996</v>
      </c>
      <c r="M158" s="38">
        <v>5.1429999999999998</v>
      </c>
      <c r="N158" s="83"/>
      <c r="O158" s="36">
        <f t="shared" si="81"/>
        <v>27.071999999999999</v>
      </c>
      <c r="P158" s="36">
        <f t="shared" si="76"/>
        <v>37.284000000000006</v>
      </c>
      <c r="Q158" s="36">
        <f t="shared" si="77"/>
        <v>41.295000000000002</v>
      </c>
      <c r="R158" s="36">
        <f t="shared" si="78"/>
        <v>17.965</v>
      </c>
      <c r="S158" s="83"/>
      <c r="T158" s="36">
        <f t="shared" si="80"/>
        <v>141.09100000000001</v>
      </c>
      <c r="U158" s="36">
        <f t="shared" si="79"/>
        <v>123.61600000000001</v>
      </c>
    </row>
    <row r="159" spans="1:21" x14ac:dyDescent="0.2">
      <c r="A159" s="76">
        <v>2009</v>
      </c>
      <c r="B159" s="38">
        <v>10.044</v>
      </c>
      <c r="C159" s="38">
        <v>10.872</v>
      </c>
      <c r="D159" s="38">
        <v>12.311</v>
      </c>
      <c r="E159" s="38">
        <v>14.377000000000001</v>
      </c>
      <c r="F159" s="38">
        <v>11.948</v>
      </c>
      <c r="G159" s="38">
        <v>9.23</v>
      </c>
      <c r="H159" s="38">
        <v>9.7989999999999995</v>
      </c>
      <c r="I159" s="38">
        <v>14.510999999999999</v>
      </c>
      <c r="J159" s="38">
        <v>9.31</v>
      </c>
      <c r="K159" s="38">
        <v>10.688000000000001</v>
      </c>
      <c r="L159" s="38">
        <v>10.246</v>
      </c>
      <c r="M159" s="38">
        <v>8.7650000000000006</v>
      </c>
      <c r="N159" s="83"/>
      <c r="O159" s="36">
        <f t="shared" si="81"/>
        <v>33.227000000000004</v>
      </c>
      <c r="P159" s="36">
        <f t="shared" si="76"/>
        <v>35.555000000000007</v>
      </c>
      <c r="Q159" s="36">
        <f t="shared" si="77"/>
        <v>33.619999999999997</v>
      </c>
      <c r="R159" s="36">
        <f t="shared" si="78"/>
        <v>29.699000000000002</v>
      </c>
      <c r="S159" s="83"/>
      <c r="T159" s="36">
        <f t="shared" si="80"/>
        <v>120.36700000000002</v>
      </c>
      <c r="U159" s="36">
        <f t="shared" si="79"/>
        <v>132.10100000000003</v>
      </c>
    </row>
    <row r="160" spans="1:21" x14ac:dyDescent="0.2">
      <c r="A160" s="76">
        <v>2010</v>
      </c>
      <c r="B160" s="38">
        <v>14.265000000000001</v>
      </c>
      <c r="C160" s="38">
        <v>12.323</v>
      </c>
      <c r="D160" s="38">
        <v>26.731000000000002</v>
      </c>
      <c r="E160" s="38">
        <v>20.896000000000001</v>
      </c>
      <c r="F160" s="38">
        <v>17.456</v>
      </c>
      <c r="G160" s="38">
        <v>18.616</v>
      </c>
      <c r="H160" s="38">
        <v>17.826000000000001</v>
      </c>
      <c r="I160" s="38">
        <v>26.050999999999998</v>
      </c>
      <c r="J160" s="38">
        <v>17.376000000000001</v>
      </c>
      <c r="K160" s="38">
        <v>10.651</v>
      </c>
      <c r="L160" s="38">
        <v>12.481</v>
      </c>
      <c r="M160" s="38">
        <v>10.362</v>
      </c>
      <c r="N160" s="83"/>
      <c r="O160" s="36">
        <f t="shared" si="81"/>
        <v>53.319000000000003</v>
      </c>
      <c r="P160" s="36">
        <f t="shared" si="76"/>
        <v>56.968000000000004</v>
      </c>
      <c r="Q160" s="36">
        <f t="shared" si="77"/>
        <v>61.253</v>
      </c>
      <c r="R160" s="36">
        <f t="shared" si="78"/>
        <v>33.494</v>
      </c>
      <c r="S160" s="83"/>
      <c r="T160" s="36">
        <f t="shared" si="80"/>
        <v>201.23899999999998</v>
      </c>
      <c r="U160" s="36">
        <f t="shared" si="79"/>
        <v>205.03400000000002</v>
      </c>
    </row>
    <row r="161" spans="1:21" x14ac:dyDescent="0.2">
      <c r="A161" s="76">
        <v>2011</v>
      </c>
      <c r="B161" s="38">
        <v>25.946000000000002</v>
      </c>
      <c r="C161" s="38">
        <v>12.053000000000001</v>
      </c>
      <c r="D161" s="38">
        <v>9.6539999999999999</v>
      </c>
      <c r="E161" s="38">
        <v>21.236999999999998</v>
      </c>
      <c r="F161" s="38">
        <v>18.893000000000001</v>
      </c>
      <c r="G161" s="38">
        <v>16.286000000000001</v>
      </c>
      <c r="H161" s="38">
        <v>16.675999999999998</v>
      </c>
      <c r="I161" s="38">
        <v>28.907</v>
      </c>
      <c r="J161" s="38">
        <v>13.065</v>
      </c>
      <c r="K161" s="38">
        <v>20.954999999999998</v>
      </c>
      <c r="L161" s="38">
        <v>21.399000000000001</v>
      </c>
      <c r="M161" s="38">
        <v>14.462999999999999</v>
      </c>
      <c r="N161" s="83"/>
      <c r="O161" s="36">
        <f t="shared" si="81"/>
        <v>47.653000000000006</v>
      </c>
      <c r="P161" s="36">
        <f t="shared" si="76"/>
        <v>56.415999999999997</v>
      </c>
      <c r="Q161" s="36">
        <f t="shared" si="77"/>
        <v>58.647999999999996</v>
      </c>
      <c r="R161" s="36">
        <f t="shared" si="78"/>
        <v>56.817</v>
      </c>
      <c r="S161" s="83"/>
      <c r="T161" s="36">
        <f t="shared" si="80"/>
        <v>196.21099999999998</v>
      </c>
      <c r="U161" s="36">
        <f t="shared" si="79"/>
        <v>219.53399999999999</v>
      </c>
    </row>
    <row r="162" spans="1:21" x14ac:dyDescent="0.2">
      <c r="A162" s="76">
        <v>2012</v>
      </c>
      <c r="B162" s="38">
        <v>7.431</v>
      </c>
      <c r="C162" s="38">
        <v>9.0210000000000008</v>
      </c>
      <c r="D162" s="38">
        <v>10.058999999999999</v>
      </c>
      <c r="E162" s="38">
        <v>14.747999999999999</v>
      </c>
      <c r="F162" s="38">
        <v>6.9130000000000003</v>
      </c>
      <c r="G162" s="38">
        <v>8.077</v>
      </c>
      <c r="H162" s="38">
        <v>7.4969999999999999</v>
      </c>
      <c r="I162" s="38">
        <v>12.457000000000001</v>
      </c>
      <c r="J162" s="38">
        <v>7.0570000000000004</v>
      </c>
      <c r="K162" s="38">
        <v>7.2290000000000001</v>
      </c>
      <c r="L162" s="38">
        <v>10.250999999999999</v>
      </c>
      <c r="M162" s="38">
        <v>13.169</v>
      </c>
      <c r="N162" s="83"/>
      <c r="O162" s="36">
        <f t="shared" si="81"/>
        <v>26.511000000000003</v>
      </c>
      <c r="P162" s="36">
        <f t="shared" si="76"/>
        <v>29.738</v>
      </c>
      <c r="Q162" s="36">
        <f t="shared" si="77"/>
        <v>27.011000000000003</v>
      </c>
      <c r="R162" s="36">
        <f t="shared" si="78"/>
        <v>30.649000000000001</v>
      </c>
      <c r="S162" s="83"/>
      <c r="T162" s="36">
        <f t="shared" si="80"/>
        <v>140.077</v>
      </c>
      <c r="U162" s="36">
        <f t="shared" si="79"/>
        <v>113.90900000000001</v>
      </c>
    </row>
    <row r="163" spans="1:21" x14ac:dyDescent="0.2">
      <c r="A163" s="76">
        <v>2013</v>
      </c>
      <c r="B163" s="38">
        <v>7.1059999999999999</v>
      </c>
      <c r="C163" s="38">
        <v>5.1050000000000004</v>
      </c>
      <c r="D163" s="38">
        <v>7.3460000000000001</v>
      </c>
      <c r="E163" s="38">
        <v>4.5289999999999999</v>
      </c>
      <c r="F163" s="38">
        <v>7.508</v>
      </c>
      <c r="G163" s="38">
        <v>7.5979999999999999</v>
      </c>
      <c r="H163" s="38">
        <v>3.839</v>
      </c>
      <c r="I163" s="38">
        <v>3.355</v>
      </c>
      <c r="J163" s="38">
        <v>2.9209999999999998</v>
      </c>
      <c r="K163" s="38">
        <v>2.3439999999999999</v>
      </c>
      <c r="L163" s="38">
        <v>3.3239999999999998</v>
      </c>
      <c r="M163" s="38">
        <v>3.669</v>
      </c>
      <c r="N163" s="83"/>
      <c r="O163" s="36">
        <f t="shared" si="81"/>
        <v>19.557000000000002</v>
      </c>
      <c r="P163" s="36">
        <f t="shared" si="76"/>
        <v>19.634999999999998</v>
      </c>
      <c r="Q163" s="36">
        <f t="shared" si="77"/>
        <v>10.115</v>
      </c>
      <c r="R163" s="36">
        <f t="shared" si="78"/>
        <v>9.3369999999999997</v>
      </c>
      <c r="S163" s="83"/>
      <c r="T163" s="36">
        <f t="shared" si="80"/>
        <v>79.956000000000003</v>
      </c>
      <c r="U163" s="36">
        <f t="shared" si="79"/>
        <v>58.644000000000005</v>
      </c>
    </row>
    <row r="164" spans="1:21" x14ac:dyDescent="0.2">
      <c r="A164" s="76">
        <v>2014</v>
      </c>
      <c r="B164" s="38">
        <v>5.9080000000000004</v>
      </c>
      <c r="C164" s="38">
        <v>10.757</v>
      </c>
      <c r="D164" s="38">
        <v>4.4889999999999999</v>
      </c>
      <c r="E164" s="38">
        <v>16.443999999999999</v>
      </c>
      <c r="F164" s="38">
        <v>6.359</v>
      </c>
      <c r="G164" s="38">
        <v>12.81</v>
      </c>
      <c r="H164" s="38">
        <v>5.6529999999999996</v>
      </c>
      <c r="I164" s="38">
        <v>4.2279999999999998</v>
      </c>
      <c r="J164" s="38">
        <v>5.609</v>
      </c>
      <c r="K164" s="38">
        <v>2.5739999999999998</v>
      </c>
      <c r="L164" s="38">
        <v>16.468</v>
      </c>
      <c r="M164" s="38">
        <v>2.823</v>
      </c>
      <c r="N164" s="83"/>
      <c r="O164" s="36">
        <f t="shared" si="81"/>
        <v>21.154</v>
      </c>
      <c r="P164" s="36">
        <f t="shared" si="76"/>
        <v>35.613</v>
      </c>
      <c r="Q164" s="36">
        <f t="shared" si="77"/>
        <v>15.49</v>
      </c>
      <c r="R164" s="36">
        <f t="shared" si="78"/>
        <v>21.865000000000002</v>
      </c>
      <c r="S164" s="83"/>
      <c r="T164" s="36">
        <f t="shared" si="80"/>
        <v>81.593999999999994</v>
      </c>
      <c r="U164" s="36">
        <f t="shared" si="79"/>
        <v>94.121999999999986</v>
      </c>
    </row>
    <row r="165" spans="1:21" x14ac:dyDescent="0.2">
      <c r="A165" s="76">
        <v>2015</v>
      </c>
      <c r="B165" s="38">
        <v>4.7160000000000002</v>
      </c>
      <c r="C165" s="38">
        <v>6.8520000000000003</v>
      </c>
      <c r="D165" s="38">
        <v>6.109</v>
      </c>
      <c r="E165" s="38">
        <v>6.6689999999999996</v>
      </c>
      <c r="F165" s="38">
        <v>10.398999999999999</v>
      </c>
      <c r="G165" s="38">
        <v>12.865</v>
      </c>
      <c r="H165" s="38">
        <v>11.167</v>
      </c>
      <c r="I165" s="38">
        <v>11.994</v>
      </c>
      <c r="J165" s="38">
        <v>9.9190000000000005</v>
      </c>
      <c r="K165" s="38">
        <v>10.407999999999999</v>
      </c>
      <c r="L165" s="38">
        <v>12.603</v>
      </c>
      <c r="M165" s="38">
        <v>5.8129999999999997</v>
      </c>
      <c r="N165" s="83"/>
      <c r="O165" s="36">
        <f t="shared" si="81"/>
        <v>17.677</v>
      </c>
      <c r="P165" s="36">
        <f t="shared" si="76"/>
        <v>29.933</v>
      </c>
      <c r="Q165" s="36">
        <f t="shared" si="77"/>
        <v>33.08</v>
      </c>
      <c r="R165" s="36">
        <f t="shared" si="78"/>
        <v>28.823999999999998</v>
      </c>
      <c r="S165" s="83"/>
      <c r="T165" s="36">
        <f t="shared" si="80"/>
        <v>102.55499999999999</v>
      </c>
      <c r="U165" s="36">
        <f t="shared" si="79"/>
        <v>109.514</v>
      </c>
    </row>
    <row r="166" spans="1:21" x14ac:dyDescent="0.2">
      <c r="A166" s="76">
        <v>2016</v>
      </c>
      <c r="B166" s="38">
        <v>5.2649999999999997</v>
      </c>
      <c r="C166" s="38">
        <v>10.612</v>
      </c>
      <c r="D166" s="38">
        <v>20.100000000000001</v>
      </c>
      <c r="E166" s="38">
        <v>14.055999999999999</v>
      </c>
      <c r="F166" s="38">
        <v>11.074</v>
      </c>
      <c r="G166" s="38">
        <v>10.94</v>
      </c>
      <c r="H166" s="38">
        <v>15.603</v>
      </c>
      <c r="I166" s="38">
        <v>20.454999999999998</v>
      </c>
      <c r="J166" s="38">
        <v>10.92</v>
      </c>
      <c r="K166" s="38">
        <v>7.7469999999999999</v>
      </c>
      <c r="L166" s="38">
        <v>10.606</v>
      </c>
      <c r="M166" s="38">
        <v>8.5649999999999995</v>
      </c>
      <c r="N166" s="83"/>
      <c r="O166" s="36">
        <f t="shared" si="81"/>
        <v>35.977000000000004</v>
      </c>
      <c r="P166" s="36">
        <f t="shared" si="76"/>
        <v>36.07</v>
      </c>
      <c r="Q166" s="36">
        <f t="shared" si="77"/>
        <v>46.978000000000002</v>
      </c>
      <c r="R166" s="36">
        <f t="shared" si="78"/>
        <v>26.917999999999999</v>
      </c>
      <c r="S166" s="83"/>
      <c r="T166" s="36">
        <f t="shared" si="80"/>
        <v>147.84900000000002</v>
      </c>
      <c r="U166" s="36">
        <f t="shared" si="79"/>
        <v>145.94300000000001</v>
      </c>
    </row>
    <row r="167" spans="1:21" x14ac:dyDescent="0.2">
      <c r="A167" s="76">
        <v>2017</v>
      </c>
      <c r="B167" s="38">
        <v>8.2899999999999991</v>
      </c>
      <c r="C167" s="38">
        <v>6.0810000000000004</v>
      </c>
      <c r="D167" s="38">
        <v>10.824999999999999</v>
      </c>
      <c r="E167" s="38">
        <v>7.9939999999999998</v>
      </c>
      <c r="F167" s="38">
        <v>11.377000000000001</v>
      </c>
      <c r="G167" s="38">
        <v>11.977</v>
      </c>
      <c r="H167" s="38">
        <v>13.865</v>
      </c>
      <c r="I167" s="38">
        <v>15.852</v>
      </c>
      <c r="J167" s="38">
        <v>13.768000000000001</v>
      </c>
      <c r="K167" s="38">
        <v>8.3919999999999995</v>
      </c>
      <c r="L167" s="38">
        <v>8.8030000000000008</v>
      </c>
      <c r="M167" s="38">
        <v>8.5730000000000004</v>
      </c>
      <c r="N167" s="83"/>
      <c r="O167" s="36">
        <f t="shared" si="81"/>
        <v>25.195999999999998</v>
      </c>
      <c r="P167" s="36">
        <f t="shared" si="76"/>
        <v>31.348000000000003</v>
      </c>
      <c r="Q167" s="36">
        <f t="shared" si="77"/>
        <v>43.484999999999999</v>
      </c>
      <c r="R167" s="36">
        <f t="shared" si="78"/>
        <v>25.768000000000001</v>
      </c>
      <c r="S167" s="83"/>
      <c r="T167" s="36">
        <f t="shared" si="80"/>
        <v>126.947</v>
      </c>
      <c r="U167" s="36">
        <f t="shared" si="79"/>
        <v>125.797</v>
      </c>
    </row>
    <row r="168" spans="1:21" x14ac:dyDescent="0.2">
      <c r="A168" s="76">
        <v>2018</v>
      </c>
      <c r="B168" s="38">
        <v>9.7949999999999999</v>
      </c>
      <c r="C168" s="38">
        <v>8.7720000000000002</v>
      </c>
      <c r="D168" s="38">
        <v>11.473000000000001</v>
      </c>
      <c r="E168" s="38">
        <v>17.038</v>
      </c>
      <c r="F168" s="38">
        <v>8.9570000000000007</v>
      </c>
      <c r="G168" s="38">
        <v>8.3070000000000004</v>
      </c>
      <c r="H168" s="38">
        <v>5.5780000000000003</v>
      </c>
      <c r="I168" s="38">
        <v>7.3630000000000004</v>
      </c>
      <c r="J168" s="38">
        <v>6.6849999999999996</v>
      </c>
      <c r="K168" s="38">
        <v>7.5590000000000002</v>
      </c>
      <c r="L168" s="38">
        <v>8.8450000000000006</v>
      </c>
      <c r="M168" s="38">
        <v>7.6349999999999998</v>
      </c>
      <c r="N168" s="83"/>
      <c r="O168" s="36">
        <f t="shared" si="81"/>
        <v>30.04</v>
      </c>
      <c r="P168" s="36">
        <f t="shared" si="76"/>
        <v>34.302</v>
      </c>
      <c r="Q168" s="36">
        <f t="shared" si="77"/>
        <v>19.626000000000001</v>
      </c>
      <c r="R168" s="36">
        <f t="shared" si="78"/>
        <v>24.039000000000001</v>
      </c>
      <c r="S168" s="83"/>
      <c r="T168" s="36">
        <f t="shared" si="80"/>
        <v>109.736</v>
      </c>
      <c r="U168" s="36">
        <f t="shared" si="79"/>
        <v>108.00700000000001</v>
      </c>
    </row>
    <row r="169" spans="1:21" x14ac:dyDescent="0.2">
      <c r="A169" s="76">
        <v>2019</v>
      </c>
      <c r="B169" s="38">
        <v>10.981999999999999</v>
      </c>
      <c r="C169" s="38">
        <v>6.7240000000000002</v>
      </c>
      <c r="D169" s="38">
        <v>6.633</v>
      </c>
      <c r="E169" s="38">
        <v>9.5250000000000004</v>
      </c>
      <c r="F169" s="38">
        <v>7.4379999999999997</v>
      </c>
      <c r="G169" s="38">
        <v>8.1199999999999992</v>
      </c>
      <c r="H169" s="38">
        <v>6.6840000000000002</v>
      </c>
      <c r="I169" s="124">
        <v>6.7480000000000002</v>
      </c>
      <c r="J169" s="125">
        <v>11.493</v>
      </c>
      <c r="K169" s="38">
        <v>8.6890000000000001</v>
      </c>
      <c r="L169" s="38">
        <v>8.9179999999999993</v>
      </c>
      <c r="M169" s="38">
        <v>6.2789999999999999</v>
      </c>
      <c r="N169" s="83"/>
      <c r="O169" s="36">
        <f t="shared" si="81"/>
        <v>24.338999999999999</v>
      </c>
      <c r="P169" s="36">
        <f t="shared" si="76"/>
        <v>25.082999999999998</v>
      </c>
      <c r="Q169" s="36">
        <f t="shared" si="77"/>
        <v>24.925000000000001</v>
      </c>
      <c r="R169" s="36">
        <f t="shared" si="78"/>
        <v>23.885999999999999</v>
      </c>
      <c r="S169" s="83"/>
      <c r="T169" s="36">
        <f t="shared" si="80"/>
        <v>98.385999999999996</v>
      </c>
      <c r="U169" s="36">
        <f t="shared" si="79"/>
        <v>98.23299999999999</v>
      </c>
    </row>
    <row r="170" spans="1:21" x14ac:dyDescent="0.2">
      <c r="A170" s="76">
        <v>2020</v>
      </c>
      <c r="B170" s="38">
        <v>5.3639999999999999</v>
      </c>
      <c r="C170" s="38">
        <v>6.4690000000000003</v>
      </c>
      <c r="D170" s="38">
        <v>5.6779999999999999</v>
      </c>
      <c r="E170" s="38">
        <v>5.8259999999999996</v>
      </c>
      <c r="F170" s="38">
        <v>5.5860000000000003</v>
      </c>
      <c r="G170" s="38">
        <v>5.0880000000000001</v>
      </c>
      <c r="H170" s="38">
        <v>5.4660000000000002</v>
      </c>
      <c r="I170" s="38">
        <v>6.5869999999999997</v>
      </c>
      <c r="J170" s="38">
        <v>7.7759999999999998</v>
      </c>
      <c r="K170" s="38">
        <v>6.6459999999999999</v>
      </c>
      <c r="L170" s="38">
        <v>6.9930000000000003</v>
      </c>
      <c r="M170" s="38">
        <v>4.8899999999999997</v>
      </c>
      <c r="N170" s="83"/>
      <c r="O170" s="36">
        <f t="shared" si="81"/>
        <v>17.510999999999999</v>
      </c>
      <c r="P170" s="36">
        <f t="shared" si="76"/>
        <v>16.5</v>
      </c>
      <c r="Q170" s="36">
        <f t="shared" si="77"/>
        <v>19.829000000000001</v>
      </c>
      <c r="R170" s="36">
        <f t="shared" si="78"/>
        <v>18.529</v>
      </c>
      <c r="S170" s="83"/>
      <c r="T170" s="36">
        <f t="shared" si="80"/>
        <v>77.725999999999999</v>
      </c>
      <c r="U170" s="36">
        <f t="shared" si="79"/>
        <v>72.369</v>
      </c>
    </row>
    <row r="171" spans="1:21" x14ac:dyDescent="0.2">
      <c r="A171" s="76">
        <v>2021</v>
      </c>
      <c r="B171" s="38">
        <v>8.3320000000000007</v>
      </c>
      <c r="C171" s="38">
        <v>4.1959999999999997</v>
      </c>
      <c r="D171" s="38">
        <v>9.4649999999999999</v>
      </c>
      <c r="E171" s="38">
        <v>5.3019999999999996</v>
      </c>
      <c r="F171" s="38">
        <v>8.5180000000000007</v>
      </c>
      <c r="G171" s="38">
        <v>5.1580000000000004</v>
      </c>
      <c r="H171" s="38">
        <v>7.7439999999999998</v>
      </c>
      <c r="I171" s="38">
        <v>15.194000000000001</v>
      </c>
      <c r="J171" s="38">
        <v>6.5970000000000004</v>
      </c>
      <c r="K171" s="38">
        <v>7.556</v>
      </c>
      <c r="L171" s="38">
        <v>7.53</v>
      </c>
      <c r="M171" s="38">
        <v>7.3170000000000002</v>
      </c>
      <c r="N171" s="83"/>
      <c r="O171" s="36">
        <f t="shared" si="81"/>
        <v>21.993000000000002</v>
      </c>
      <c r="P171" s="36">
        <f t="shared" si="76"/>
        <v>18.978000000000002</v>
      </c>
      <c r="Q171" s="36">
        <f>SUM(H171:J171)</f>
        <v>29.535000000000004</v>
      </c>
      <c r="R171" s="36">
        <f>SUM(K171:M171)</f>
        <v>22.402999999999999</v>
      </c>
      <c r="S171" s="83"/>
      <c r="T171" s="36">
        <f>R170+O171+P171+Q171</f>
        <v>89.035000000000011</v>
      </c>
      <c r="U171" s="36">
        <f>SUM(O171:R171)</f>
        <v>92.908999999999992</v>
      </c>
    </row>
    <row r="172" spans="1:21" x14ac:dyDescent="0.2">
      <c r="A172" s="76">
        <v>2022</v>
      </c>
      <c r="B172" s="38">
        <v>8.1760000000000002</v>
      </c>
      <c r="C172" s="38">
        <v>5.782</v>
      </c>
      <c r="D172" s="38">
        <v>6.899</v>
      </c>
      <c r="E172" s="38">
        <v>10.766999999999999</v>
      </c>
      <c r="F172" s="38">
        <v>7.09</v>
      </c>
      <c r="G172" s="38">
        <v>4.931</v>
      </c>
      <c r="H172" s="38">
        <v>5.351</v>
      </c>
      <c r="I172" s="38">
        <v>3.9609999999999999</v>
      </c>
      <c r="J172" s="38">
        <v>4.8449999999999998</v>
      </c>
      <c r="K172" s="38">
        <v>9.8490000000000002</v>
      </c>
      <c r="L172" s="38">
        <v>4.3010000000000002</v>
      </c>
      <c r="M172" s="38">
        <v>6.1239999999999997</v>
      </c>
      <c r="N172" s="83"/>
      <c r="O172" s="36">
        <f t="shared" si="81"/>
        <v>20.856999999999999</v>
      </c>
      <c r="P172" s="36">
        <f t="shared" si="76"/>
        <v>22.788</v>
      </c>
      <c r="Q172" s="36">
        <f>SUM(H172:J172)</f>
        <v>14.157</v>
      </c>
      <c r="R172" s="36">
        <f>SUM(K172:M172)</f>
        <v>20.274000000000001</v>
      </c>
      <c r="S172" s="83"/>
      <c r="T172" s="36">
        <f>R171+O172+P172+Q172</f>
        <v>80.204999999999998</v>
      </c>
      <c r="U172" s="36">
        <f>SUM(O172:R172)</f>
        <v>78.075999999999993</v>
      </c>
    </row>
    <row r="173" spans="1:21" x14ac:dyDescent="0.2">
      <c r="A173" s="76">
        <v>2023</v>
      </c>
      <c r="B173" s="36">
        <v>7.7169999999999996</v>
      </c>
      <c r="C173" s="38">
        <v>7.3769999999999998</v>
      </c>
      <c r="D173" s="38">
        <v>8.4019999999999992</v>
      </c>
      <c r="E173" s="38">
        <v>12.986000000000001</v>
      </c>
      <c r="F173" s="38">
        <v>12.298</v>
      </c>
      <c r="G173" s="38">
        <v>6.75</v>
      </c>
      <c r="H173" s="38">
        <v>7.1189999999999998</v>
      </c>
      <c r="I173" s="38">
        <v>5.4320000000000004</v>
      </c>
      <c r="J173" s="38">
        <v>5.3719999999999999</v>
      </c>
      <c r="K173" s="38">
        <v>8.1690000000000005</v>
      </c>
      <c r="L173" s="38">
        <v>5.2779999999999996</v>
      </c>
      <c r="M173" s="38">
        <v>10.808999999999999</v>
      </c>
      <c r="N173" s="83"/>
      <c r="O173" s="36">
        <f t="shared" si="81"/>
        <v>23.495999999999999</v>
      </c>
      <c r="P173" s="36">
        <f t="shared" si="76"/>
        <v>32.033999999999999</v>
      </c>
      <c r="Q173" s="36">
        <f>SUM(H173:J173)</f>
        <v>17.923000000000002</v>
      </c>
      <c r="R173" s="36">
        <f>SUM(K173:M173)</f>
        <v>24.256</v>
      </c>
      <c r="S173" s="83"/>
      <c r="T173" s="36">
        <f>R172+O173+P173+Q173</f>
        <v>93.727000000000004</v>
      </c>
      <c r="U173" s="36">
        <f>SUM(O173:R173)</f>
        <v>97.709000000000003</v>
      </c>
    </row>
    <row r="174" spans="1:21" x14ac:dyDescent="0.2">
      <c r="A174" s="76">
        <v>2024</v>
      </c>
      <c r="B174" s="36">
        <v>5.3479999999999999</v>
      </c>
      <c r="C174" s="38">
        <v>5.7389999999999999</v>
      </c>
      <c r="D174" s="38">
        <v>6.617</v>
      </c>
      <c r="E174" s="38">
        <v>11.759</v>
      </c>
      <c r="F174" s="38">
        <v>13.231999999999999</v>
      </c>
      <c r="G174" s="38">
        <v>12.904</v>
      </c>
      <c r="H174" s="38">
        <v>15.391</v>
      </c>
      <c r="I174" s="38">
        <v>8.4879999999999995</v>
      </c>
      <c r="J174" s="38">
        <v>-20.718</v>
      </c>
      <c r="K174" s="38">
        <v>5.7880000000000003</v>
      </c>
      <c r="L174" s="38">
        <v>5.18</v>
      </c>
      <c r="M174" s="38" t="s">
        <v>152</v>
      </c>
      <c r="N174" s="83"/>
      <c r="O174" s="36">
        <f t="shared" si="81"/>
        <v>17.704000000000001</v>
      </c>
      <c r="P174" s="36">
        <f t="shared" si="76"/>
        <v>37.894999999999996</v>
      </c>
      <c r="Q174" s="36">
        <f>SUM(H174:J174)</f>
        <v>3.1609999999999978</v>
      </c>
      <c r="R174" s="38" t="s">
        <v>152</v>
      </c>
      <c r="S174" s="83"/>
      <c r="T174" s="36">
        <f>R173+O174+P174+Q174</f>
        <v>83.015999999999991</v>
      </c>
      <c r="U174" s="38" t="s">
        <v>152</v>
      </c>
    </row>
    <row r="175" spans="1:21" x14ac:dyDescent="0.2">
      <c r="A175" s="36" t="s">
        <v>154</v>
      </c>
      <c r="B175" s="38"/>
      <c r="C175" s="38"/>
      <c r="D175" s="38"/>
      <c r="E175" s="38"/>
      <c r="F175" s="38"/>
      <c r="G175" s="38"/>
      <c r="H175" s="38"/>
      <c r="I175" s="38"/>
      <c r="J175" s="38"/>
      <c r="K175" s="38"/>
      <c r="L175" s="38"/>
      <c r="M175" s="38"/>
      <c r="N175" s="83"/>
      <c r="O175" s="36"/>
      <c r="P175" s="36"/>
      <c r="Q175" s="36"/>
      <c r="R175" s="36"/>
      <c r="S175" s="83"/>
      <c r="T175" s="36"/>
      <c r="U175" s="36"/>
    </row>
    <row r="176" spans="1:21" x14ac:dyDescent="0.2">
      <c r="A176" s="76">
        <v>1992</v>
      </c>
      <c r="B176" s="38">
        <v>1.46</v>
      </c>
      <c r="C176" s="38">
        <v>1.46</v>
      </c>
      <c r="D176" s="38">
        <v>1.1200000000000001</v>
      </c>
      <c r="E176" s="38">
        <v>1.7410000000000001</v>
      </c>
      <c r="F176" s="38">
        <v>1.294</v>
      </c>
      <c r="G176" s="38">
        <v>1.288</v>
      </c>
      <c r="H176" s="38">
        <v>1.87</v>
      </c>
      <c r="I176" s="38">
        <v>1.534</v>
      </c>
      <c r="J176" s="38">
        <v>1.601</v>
      </c>
      <c r="K176" s="38">
        <v>1.534</v>
      </c>
      <c r="L176" s="38">
        <v>1.1679999999999999</v>
      </c>
      <c r="M176" s="38">
        <v>1.022</v>
      </c>
      <c r="N176" s="83"/>
      <c r="O176" s="36">
        <f t="shared" ref="O176:O186" si="82">SUM(B176:D176)</f>
        <v>4.04</v>
      </c>
      <c r="P176" s="36">
        <f t="shared" ref="P176:P185" si="83">SUM(E176:G176)</f>
        <v>4.3230000000000004</v>
      </c>
      <c r="Q176" s="36">
        <f t="shared" ref="Q176:Q204" si="84">SUM(H176:J176)</f>
        <v>5.0049999999999999</v>
      </c>
      <c r="R176" s="36">
        <f t="shared" ref="R176:R204" si="85">SUM(K176:M176)</f>
        <v>3.7240000000000002</v>
      </c>
      <c r="S176" s="83"/>
      <c r="T176" s="36">
        <v>17.167999999999999</v>
      </c>
      <c r="U176" s="36">
        <f t="shared" ref="U176:U204" si="86">O176+P176+Q176+R176</f>
        <v>17.091999999999999</v>
      </c>
    </row>
    <row r="177" spans="1:22" x14ac:dyDescent="0.2">
      <c r="A177" s="76">
        <v>1993</v>
      </c>
      <c r="B177" s="38">
        <v>2.173</v>
      </c>
      <c r="C177" s="38">
        <v>1.6679999999999999</v>
      </c>
      <c r="D177" s="38">
        <v>1.4710000000000001</v>
      </c>
      <c r="E177" s="38">
        <v>1.4370000000000001</v>
      </c>
      <c r="F177" s="38">
        <v>1.0049999999999999</v>
      </c>
      <c r="G177" s="38">
        <v>1.159</v>
      </c>
      <c r="H177" s="38">
        <v>0.95499999999999996</v>
      </c>
      <c r="I177" s="38">
        <v>0.91700000000000004</v>
      </c>
      <c r="J177" s="38">
        <v>1.143</v>
      </c>
      <c r="K177" s="38">
        <v>0.91800000000000004</v>
      </c>
      <c r="L177" s="38">
        <v>0.80600000000000005</v>
      </c>
      <c r="M177" s="38">
        <v>0.70599999999999996</v>
      </c>
      <c r="N177" s="83"/>
      <c r="O177" s="36">
        <f t="shared" si="82"/>
        <v>5.3120000000000003</v>
      </c>
      <c r="P177" s="36">
        <f t="shared" si="83"/>
        <v>3.601</v>
      </c>
      <c r="Q177" s="36">
        <f t="shared" si="84"/>
        <v>3.0149999999999997</v>
      </c>
      <c r="R177" s="36">
        <f t="shared" si="85"/>
        <v>2.4300000000000002</v>
      </c>
      <c r="S177" s="83"/>
      <c r="T177" s="36">
        <f t="shared" ref="T177:T204" si="87">R176+O177+P177+Q177</f>
        <v>15.652000000000001</v>
      </c>
      <c r="U177" s="36">
        <f t="shared" si="86"/>
        <v>14.358000000000001</v>
      </c>
    </row>
    <row r="178" spans="1:22" x14ac:dyDescent="0.2">
      <c r="A178" s="76">
        <v>1994</v>
      </c>
      <c r="B178" s="38">
        <v>0.78</v>
      </c>
      <c r="C178" s="38">
        <v>0.84699999999999998</v>
      </c>
      <c r="D178" s="38">
        <v>1.141</v>
      </c>
      <c r="E178" s="38">
        <v>0.89800000000000002</v>
      </c>
      <c r="F178" s="38">
        <v>0.91300000000000003</v>
      </c>
      <c r="G178" s="38">
        <v>1.079</v>
      </c>
      <c r="H178" s="38">
        <v>1.0589999999999999</v>
      </c>
      <c r="I178" s="38">
        <v>1.278</v>
      </c>
      <c r="J178" s="38">
        <v>1.542</v>
      </c>
      <c r="K178" s="38">
        <v>1.1859999999999999</v>
      </c>
      <c r="L178" s="38">
        <v>1.2509999999999999</v>
      </c>
      <c r="M178" s="38">
        <v>1.3320000000000001</v>
      </c>
      <c r="N178" s="83"/>
      <c r="O178" s="36">
        <f t="shared" si="82"/>
        <v>2.7679999999999998</v>
      </c>
      <c r="P178" s="36">
        <f t="shared" si="83"/>
        <v>2.8899999999999997</v>
      </c>
      <c r="Q178" s="36">
        <f t="shared" si="84"/>
        <v>3.8789999999999996</v>
      </c>
      <c r="R178" s="36">
        <f t="shared" si="85"/>
        <v>3.7690000000000001</v>
      </c>
      <c r="S178" s="83"/>
      <c r="T178" s="36">
        <f t="shared" si="87"/>
        <v>11.967000000000001</v>
      </c>
      <c r="U178" s="36">
        <f t="shared" si="86"/>
        <v>13.305999999999999</v>
      </c>
      <c r="V178" s="83"/>
    </row>
    <row r="179" spans="1:22" x14ac:dyDescent="0.2">
      <c r="A179" s="86">
        <v>1995</v>
      </c>
      <c r="B179" s="38">
        <v>1.147</v>
      </c>
      <c r="C179" s="38">
        <v>1.2250000000000001</v>
      </c>
      <c r="D179" s="38">
        <v>1.6950000000000001</v>
      </c>
      <c r="E179" s="38">
        <v>1.3720000000000001</v>
      </c>
      <c r="F179" s="38">
        <v>1.526</v>
      </c>
      <c r="G179" s="38">
        <v>1.698</v>
      </c>
      <c r="H179" s="38">
        <v>1.319</v>
      </c>
      <c r="I179" s="38">
        <v>1.5429999999999999</v>
      </c>
      <c r="J179" s="38">
        <v>1.5349999999999999</v>
      </c>
      <c r="K179" s="38">
        <v>1.5409999999999999</v>
      </c>
      <c r="L179" s="38">
        <v>1.4910000000000001</v>
      </c>
      <c r="M179" s="38">
        <v>1.323</v>
      </c>
      <c r="N179" s="83"/>
      <c r="O179" s="36">
        <f t="shared" si="82"/>
        <v>4.0670000000000002</v>
      </c>
      <c r="P179" s="36">
        <f t="shared" si="83"/>
        <v>4.5960000000000001</v>
      </c>
      <c r="Q179" s="36">
        <f t="shared" si="84"/>
        <v>4.3970000000000002</v>
      </c>
      <c r="R179" s="36">
        <f t="shared" si="85"/>
        <v>4.3550000000000004</v>
      </c>
      <c r="S179" s="83"/>
      <c r="T179" s="36">
        <f t="shared" si="87"/>
        <v>16.829000000000001</v>
      </c>
      <c r="U179" s="36">
        <f t="shared" si="86"/>
        <v>17.414999999999999</v>
      </c>
      <c r="V179" s="83"/>
    </row>
    <row r="180" spans="1:22" x14ac:dyDescent="0.2">
      <c r="A180" s="86">
        <v>1996</v>
      </c>
      <c r="B180" s="38">
        <v>1.3089999999999999</v>
      </c>
      <c r="C180" s="38">
        <v>1.1200000000000001</v>
      </c>
      <c r="D180" s="38">
        <v>1.52</v>
      </c>
      <c r="E180" s="38">
        <v>1.3740000000000001</v>
      </c>
      <c r="F180" s="38">
        <v>1.6870000000000001</v>
      </c>
      <c r="G180" s="38">
        <v>1.6950000000000001</v>
      </c>
      <c r="H180" s="38">
        <v>1.762</v>
      </c>
      <c r="I180" s="38">
        <v>1.64</v>
      </c>
      <c r="J180" s="38">
        <v>1.8480000000000001</v>
      </c>
      <c r="K180" s="38">
        <v>1.8819999999999999</v>
      </c>
      <c r="L180" s="38">
        <v>1.3109999999999999</v>
      </c>
      <c r="M180" s="38">
        <v>1.4079999999999999</v>
      </c>
      <c r="N180" s="83"/>
      <c r="O180" s="36">
        <f t="shared" si="82"/>
        <v>3.9490000000000003</v>
      </c>
      <c r="P180" s="36">
        <f t="shared" si="83"/>
        <v>4.7560000000000002</v>
      </c>
      <c r="Q180" s="36">
        <f t="shared" si="84"/>
        <v>5.25</v>
      </c>
      <c r="R180" s="36">
        <f t="shared" si="85"/>
        <v>4.6009999999999991</v>
      </c>
      <c r="S180" s="83"/>
      <c r="T180" s="36">
        <f t="shared" si="87"/>
        <v>18.310000000000002</v>
      </c>
      <c r="U180" s="36">
        <f t="shared" si="86"/>
        <v>18.555999999999997</v>
      </c>
    </row>
    <row r="181" spans="1:22" x14ac:dyDescent="0.2">
      <c r="A181" s="86">
        <v>1997</v>
      </c>
      <c r="B181" s="38">
        <v>1.407</v>
      </c>
      <c r="C181" s="38">
        <v>1.1870000000000001</v>
      </c>
      <c r="D181" s="38">
        <v>1.339</v>
      </c>
      <c r="E181" s="38">
        <v>1.601</v>
      </c>
      <c r="F181" s="38">
        <v>2.2309999999999999</v>
      </c>
      <c r="G181" s="38">
        <v>2.2080000000000002</v>
      </c>
      <c r="H181" s="38">
        <v>1.7649999999999999</v>
      </c>
      <c r="I181" s="38">
        <v>1.506</v>
      </c>
      <c r="J181" s="38">
        <v>2.7639999999999998</v>
      </c>
      <c r="K181" s="38">
        <v>1.5620000000000001</v>
      </c>
      <c r="L181" s="38">
        <v>1.4950000000000001</v>
      </c>
      <c r="M181" s="38">
        <v>1.774</v>
      </c>
      <c r="N181" s="83"/>
      <c r="O181" s="36">
        <f t="shared" si="82"/>
        <v>3.9330000000000003</v>
      </c>
      <c r="P181" s="36">
        <f t="shared" si="83"/>
        <v>6.04</v>
      </c>
      <c r="Q181" s="36">
        <f t="shared" si="84"/>
        <v>6.0350000000000001</v>
      </c>
      <c r="R181" s="36">
        <f t="shared" si="85"/>
        <v>4.8310000000000004</v>
      </c>
      <c r="S181" s="83"/>
      <c r="T181" s="36">
        <f t="shared" si="87"/>
        <v>20.608999999999998</v>
      </c>
      <c r="U181" s="36">
        <f t="shared" si="86"/>
        <v>20.839000000000002</v>
      </c>
    </row>
    <row r="182" spans="1:22" x14ac:dyDescent="0.2">
      <c r="A182" s="86">
        <v>1998</v>
      </c>
      <c r="B182" s="38">
        <v>1.2549999999999999</v>
      </c>
      <c r="C182" s="38">
        <v>1.46</v>
      </c>
      <c r="D182" s="38">
        <v>1.56</v>
      </c>
      <c r="E182" s="38">
        <v>1.9259999999999999</v>
      </c>
      <c r="F182" s="38">
        <v>2.1339999999999999</v>
      </c>
      <c r="G182" s="38">
        <v>1.3859999999999999</v>
      </c>
      <c r="H182" s="38">
        <v>1.9990000000000001</v>
      </c>
      <c r="I182" s="38">
        <v>1.508</v>
      </c>
      <c r="J182" s="38">
        <v>1.7410000000000001</v>
      </c>
      <c r="K182" s="38">
        <v>2.4980000000000002</v>
      </c>
      <c r="L182" s="38">
        <v>1.8660000000000001</v>
      </c>
      <c r="M182" s="38">
        <v>2.0630000000000002</v>
      </c>
      <c r="N182" s="83"/>
      <c r="O182" s="36">
        <f t="shared" si="82"/>
        <v>4.2750000000000004</v>
      </c>
      <c r="P182" s="36">
        <f t="shared" si="83"/>
        <v>5.4459999999999997</v>
      </c>
      <c r="Q182" s="36">
        <f t="shared" si="84"/>
        <v>5.2480000000000002</v>
      </c>
      <c r="R182" s="36">
        <f t="shared" si="85"/>
        <v>6.4270000000000014</v>
      </c>
      <c r="S182" s="83"/>
      <c r="T182" s="36">
        <f t="shared" si="87"/>
        <v>19.8</v>
      </c>
      <c r="U182" s="36">
        <f t="shared" si="86"/>
        <v>21.396000000000001</v>
      </c>
    </row>
    <row r="183" spans="1:22" x14ac:dyDescent="0.2">
      <c r="A183" s="86">
        <v>1999</v>
      </c>
      <c r="B183" s="38">
        <v>1.2250000000000001</v>
      </c>
      <c r="C183" s="38">
        <v>1.776</v>
      </c>
      <c r="D183" s="38">
        <v>2.3380000000000001</v>
      </c>
      <c r="E183" s="38">
        <v>2.2589999999999999</v>
      </c>
      <c r="F183" s="38">
        <v>2.1909999999999998</v>
      </c>
      <c r="G183" s="38">
        <v>1.9430000000000001</v>
      </c>
      <c r="H183" s="38">
        <v>1.73</v>
      </c>
      <c r="I183" s="38">
        <v>1.9670000000000001</v>
      </c>
      <c r="J183" s="38">
        <v>2.4529999999999998</v>
      </c>
      <c r="K183" s="38">
        <v>2.2999999999999998</v>
      </c>
      <c r="L183" s="38">
        <v>2.4319999999999999</v>
      </c>
      <c r="M183" s="38">
        <v>3.403</v>
      </c>
      <c r="N183" s="83"/>
      <c r="O183" s="36">
        <f t="shared" si="82"/>
        <v>5.3390000000000004</v>
      </c>
      <c r="P183" s="36">
        <f t="shared" si="83"/>
        <v>6.3929999999999989</v>
      </c>
      <c r="Q183" s="36">
        <f t="shared" si="84"/>
        <v>6.15</v>
      </c>
      <c r="R183" s="36">
        <f t="shared" si="85"/>
        <v>8.1349999999999998</v>
      </c>
      <c r="S183" s="83"/>
      <c r="T183" s="36">
        <f t="shared" si="87"/>
        <v>24.308999999999997</v>
      </c>
      <c r="U183" s="36">
        <f t="shared" si="86"/>
        <v>26.016999999999996</v>
      </c>
    </row>
    <row r="184" spans="1:22" x14ac:dyDescent="0.2">
      <c r="A184" s="76">
        <v>2000</v>
      </c>
      <c r="B184" s="38">
        <v>3.0870000000000002</v>
      </c>
      <c r="C184" s="38">
        <v>2.6520000000000001</v>
      </c>
      <c r="D184" s="38">
        <v>3.0619999999999998</v>
      </c>
      <c r="E184" s="38">
        <v>2.6829999999999998</v>
      </c>
      <c r="F184" s="38">
        <v>2.4420000000000002</v>
      </c>
      <c r="G184" s="38">
        <v>2.3980000000000001</v>
      </c>
      <c r="H184" s="38">
        <v>2.5550000000000002</v>
      </c>
      <c r="I184" s="38">
        <v>2.2719999999999998</v>
      </c>
      <c r="J184" s="38">
        <v>2.504</v>
      </c>
      <c r="K184" s="38">
        <v>2.4350000000000001</v>
      </c>
      <c r="L184" s="38">
        <v>2.5099999999999998</v>
      </c>
      <c r="M184" s="38">
        <v>1.851</v>
      </c>
      <c r="N184" s="83"/>
      <c r="O184" s="36">
        <f t="shared" si="82"/>
        <v>8.8010000000000002</v>
      </c>
      <c r="P184" s="36">
        <f t="shared" si="83"/>
        <v>7.5229999999999997</v>
      </c>
      <c r="Q184" s="36">
        <f t="shared" si="84"/>
        <v>7.3309999999999995</v>
      </c>
      <c r="R184" s="36">
        <f t="shared" si="85"/>
        <v>6.7960000000000003</v>
      </c>
      <c r="S184" s="83"/>
      <c r="T184" s="36">
        <f t="shared" si="87"/>
        <v>31.79</v>
      </c>
      <c r="U184" s="36">
        <f t="shared" si="86"/>
        <v>30.450999999999997</v>
      </c>
    </row>
    <row r="185" spans="1:22" x14ac:dyDescent="0.2">
      <c r="A185" s="82">
        <v>2001</v>
      </c>
      <c r="B185" s="38">
        <v>2.5219999999999998</v>
      </c>
      <c r="C185" s="38">
        <v>2.9460000000000002</v>
      </c>
      <c r="D185" s="38">
        <v>2.7029999999999998</v>
      </c>
      <c r="E185" s="38">
        <v>3.2109999999999999</v>
      </c>
      <c r="F185" s="38">
        <v>3.5950000000000002</v>
      </c>
      <c r="G185" s="38">
        <v>2.8719999999999999</v>
      </c>
      <c r="H185" s="38">
        <v>2.831</v>
      </c>
      <c r="I185" s="38">
        <v>4.0199999999999996</v>
      </c>
      <c r="J185" s="38">
        <v>10.491</v>
      </c>
      <c r="K185" s="38">
        <v>3.758</v>
      </c>
      <c r="L185" s="38">
        <v>3.266</v>
      </c>
      <c r="M185" s="38">
        <v>2.2170000000000001</v>
      </c>
      <c r="N185" s="83"/>
      <c r="O185" s="36">
        <f t="shared" si="82"/>
        <v>8.1709999999999994</v>
      </c>
      <c r="P185" s="36">
        <f t="shared" si="83"/>
        <v>9.6780000000000008</v>
      </c>
      <c r="Q185" s="36">
        <f t="shared" si="84"/>
        <v>17.341999999999999</v>
      </c>
      <c r="R185" s="36">
        <f t="shared" si="85"/>
        <v>9.2409999999999997</v>
      </c>
      <c r="S185" s="83"/>
      <c r="T185" s="36">
        <f t="shared" si="87"/>
        <v>41.986999999999995</v>
      </c>
      <c r="U185" s="36">
        <f t="shared" si="86"/>
        <v>44.432000000000002</v>
      </c>
    </row>
    <row r="186" spans="1:22" x14ac:dyDescent="0.2">
      <c r="A186" s="84">
        <v>2002</v>
      </c>
      <c r="B186" s="38">
        <v>2.52</v>
      </c>
      <c r="C186" s="38">
        <v>2.2840000000000003</v>
      </c>
      <c r="D186" s="38">
        <v>2.0350000000000001</v>
      </c>
      <c r="E186" s="38">
        <v>2.3199999999999998</v>
      </c>
      <c r="F186" s="38">
        <v>2.585</v>
      </c>
      <c r="G186" s="38">
        <v>3.5880000000000001</v>
      </c>
      <c r="H186" s="38">
        <v>3.5150000000000001</v>
      </c>
      <c r="I186" s="38">
        <v>2.4510000000000001</v>
      </c>
      <c r="J186" s="38">
        <v>2.085</v>
      </c>
      <c r="K186" s="38">
        <v>1.7989999999999999</v>
      </c>
      <c r="L186" s="38">
        <v>1.6300000000000001</v>
      </c>
      <c r="M186" s="38">
        <v>1.1120000000000001</v>
      </c>
      <c r="N186" s="83"/>
      <c r="O186" s="36">
        <f t="shared" si="82"/>
        <v>6.8390000000000004</v>
      </c>
      <c r="P186" s="36">
        <f t="shared" ref="P186:P205" si="88">SUM(E186:G186)</f>
        <v>8.4929999999999986</v>
      </c>
      <c r="Q186" s="36">
        <f t="shared" si="84"/>
        <v>8.0510000000000002</v>
      </c>
      <c r="R186" s="36">
        <f t="shared" si="85"/>
        <v>4.5410000000000004</v>
      </c>
      <c r="S186" s="83"/>
      <c r="T186" s="36">
        <f t="shared" si="87"/>
        <v>32.623999999999995</v>
      </c>
      <c r="U186" s="36">
        <f t="shared" si="86"/>
        <v>27.923999999999999</v>
      </c>
    </row>
    <row r="187" spans="1:22" x14ac:dyDescent="0.2">
      <c r="A187" s="84">
        <v>2003</v>
      </c>
      <c r="B187" s="38">
        <v>1.887</v>
      </c>
      <c r="C187" s="38">
        <v>2.085</v>
      </c>
      <c r="D187" s="38">
        <v>1.744</v>
      </c>
      <c r="E187" s="38">
        <v>1.944</v>
      </c>
      <c r="F187" s="38">
        <v>2.3649999999999998</v>
      </c>
      <c r="G187" s="38">
        <v>2.34</v>
      </c>
      <c r="H187" s="38">
        <v>2.4409999999999998</v>
      </c>
      <c r="I187" s="38">
        <v>2.3010000000000002</v>
      </c>
      <c r="J187" s="38">
        <v>2.7569999999999997</v>
      </c>
      <c r="K187" s="38">
        <v>1.8639999999999999</v>
      </c>
      <c r="L187" s="38">
        <v>2.6399999999999997</v>
      </c>
      <c r="M187" s="38">
        <v>2.8559999999999999</v>
      </c>
      <c r="N187" s="83"/>
      <c r="O187" s="36">
        <f>SUM(B187:D187)</f>
        <v>5.7160000000000002</v>
      </c>
      <c r="P187" s="36">
        <f t="shared" si="88"/>
        <v>6.6489999999999991</v>
      </c>
      <c r="Q187" s="36">
        <f t="shared" si="84"/>
        <v>7.4989999999999997</v>
      </c>
      <c r="R187" s="36">
        <f t="shared" si="85"/>
        <v>7.3599999999999994</v>
      </c>
      <c r="S187" s="83"/>
      <c r="T187" s="36">
        <f t="shared" si="87"/>
        <v>24.404999999999998</v>
      </c>
      <c r="U187" s="36">
        <f t="shared" si="86"/>
        <v>27.223999999999997</v>
      </c>
    </row>
    <row r="188" spans="1:22" x14ac:dyDescent="0.2">
      <c r="A188" s="84">
        <v>2004</v>
      </c>
      <c r="B188" s="38">
        <v>3.0350000000000001</v>
      </c>
      <c r="C188" s="38">
        <v>3.0700000000000003</v>
      </c>
      <c r="D188" s="38">
        <v>3.73</v>
      </c>
      <c r="E188" s="38">
        <v>3.9119999999999999</v>
      </c>
      <c r="F188" s="38">
        <v>4.3449999999999998</v>
      </c>
      <c r="G188" s="38">
        <v>3.11</v>
      </c>
      <c r="H188" s="38">
        <v>4.3550000000000004</v>
      </c>
      <c r="I188" s="38">
        <v>4.3490000000000002</v>
      </c>
      <c r="J188" s="38">
        <v>4.2880000000000003</v>
      </c>
      <c r="K188" s="38">
        <v>3.5390000000000001</v>
      </c>
      <c r="L188" s="38">
        <v>3.1509999999999998</v>
      </c>
      <c r="M188" s="38">
        <v>3.7530000000000001</v>
      </c>
      <c r="N188" s="83"/>
      <c r="O188" s="36">
        <f t="shared" ref="O188:O208" si="89">SUM(B188:D188)</f>
        <v>9.8350000000000009</v>
      </c>
      <c r="P188" s="36">
        <f t="shared" si="88"/>
        <v>11.366999999999999</v>
      </c>
      <c r="Q188" s="36">
        <f t="shared" si="84"/>
        <v>12.992000000000001</v>
      </c>
      <c r="R188" s="36">
        <f t="shared" si="85"/>
        <v>10.443</v>
      </c>
      <c r="S188" s="83"/>
      <c r="T188" s="36">
        <f t="shared" si="87"/>
        <v>41.554000000000002</v>
      </c>
      <c r="U188" s="36">
        <f t="shared" si="86"/>
        <v>44.637</v>
      </c>
    </row>
    <row r="189" spans="1:22" x14ac:dyDescent="0.2">
      <c r="A189" s="84">
        <v>2005</v>
      </c>
      <c r="B189" s="38">
        <v>4.1400000000000006</v>
      </c>
      <c r="C189" s="38">
        <v>3.7050000000000001</v>
      </c>
      <c r="D189" s="38">
        <v>3.8529999999999998</v>
      </c>
      <c r="E189" s="38">
        <v>3.8449999999999998</v>
      </c>
      <c r="F189" s="38">
        <v>4.2560000000000002</v>
      </c>
      <c r="G189" s="38">
        <v>5.2759999999999998</v>
      </c>
      <c r="H189" s="38">
        <v>4.133</v>
      </c>
      <c r="I189" s="38">
        <v>4.298</v>
      </c>
      <c r="J189" s="38">
        <v>4.5169999999999995</v>
      </c>
      <c r="K189" s="38">
        <v>4.601</v>
      </c>
      <c r="L189" s="38">
        <v>4.37</v>
      </c>
      <c r="M189" s="38">
        <v>4.8689999999999998</v>
      </c>
      <c r="N189" s="83"/>
      <c r="O189" s="36">
        <f t="shared" si="89"/>
        <v>11.698</v>
      </c>
      <c r="P189" s="36">
        <f t="shared" si="88"/>
        <v>13.376999999999999</v>
      </c>
      <c r="Q189" s="36">
        <f t="shared" si="84"/>
        <v>12.948</v>
      </c>
      <c r="R189" s="36">
        <f t="shared" si="85"/>
        <v>13.84</v>
      </c>
      <c r="S189" s="83"/>
      <c r="T189" s="36">
        <f t="shared" si="87"/>
        <v>48.466000000000001</v>
      </c>
      <c r="U189" s="36">
        <f t="shared" si="86"/>
        <v>51.863</v>
      </c>
    </row>
    <row r="190" spans="1:22" x14ac:dyDescent="0.2">
      <c r="A190" s="84">
        <v>2006</v>
      </c>
      <c r="B190" s="38">
        <v>4.7450000000000001</v>
      </c>
      <c r="C190" s="38">
        <v>3.7619999999999996</v>
      </c>
      <c r="D190" s="38">
        <v>4.53</v>
      </c>
      <c r="E190" s="38">
        <v>3.8170000000000002</v>
      </c>
      <c r="F190" s="38">
        <v>3.976</v>
      </c>
      <c r="G190" s="38">
        <v>4.4009999999999998</v>
      </c>
      <c r="H190" s="38">
        <v>3.9670000000000005</v>
      </c>
      <c r="I190" s="38">
        <v>4.202</v>
      </c>
      <c r="J190" s="38">
        <v>3.613</v>
      </c>
      <c r="K190" s="38">
        <v>4.6440000000000001</v>
      </c>
      <c r="L190" s="38">
        <v>3.7590000000000003</v>
      </c>
      <c r="M190" s="38">
        <v>3.698</v>
      </c>
      <c r="N190" s="83"/>
      <c r="O190" s="36">
        <f t="shared" si="89"/>
        <v>13.036999999999999</v>
      </c>
      <c r="P190" s="36">
        <f t="shared" si="88"/>
        <v>12.193999999999999</v>
      </c>
      <c r="Q190" s="36">
        <f t="shared" si="84"/>
        <v>11.782</v>
      </c>
      <c r="R190" s="36">
        <f t="shared" si="85"/>
        <v>12.101000000000001</v>
      </c>
      <c r="S190" s="83"/>
      <c r="T190" s="36">
        <f t="shared" si="87"/>
        <v>50.852999999999994</v>
      </c>
      <c r="U190" s="36">
        <f t="shared" si="86"/>
        <v>49.113999999999997</v>
      </c>
    </row>
    <row r="191" spans="1:22" x14ac:dyDescent="0.2">
      <c r="A191" s="84">
        <v>2007</v>
      </c>
      <c r="B191" s="38">
        <v>3.9379999999999997</v>
      </c>
      <c r="C191" s="38">
        <v>4.609</v>
      </c>
      <c r="D191" s="38">
        <v>5.0380000000000003</v>
      </c>
      <c r="E191" s="38">
        <v>4.4190000000000005</v>
      </c>
      <c r="F191" s="38">
        <v>4.9790000000000001</v>
      </c>
      <c r="G191" s="38">
        <v>4.399</v>
      </c>
      <c r="H191" s="38">
        <v>3.6229999999999998</v>
      </c>
      <c r="I191" s="38">
        <v>4.8889999999999993</v>
      </c>
      <c r="J191" s="38">
        <v>4.71</v>
      </c>
      <c r="K191" s="38">
        <v>5.2309999999999999</v>
      </c>
      <c r="L191" s="38">
        <v>4.577</v>
      </c>
      <c r="M191" s="38">
        <v>4.1710000000000003</v>
      </c>
      <c r="N191" s="83"/>
      <c r="O191" s="36">
        <f t="shared" si="89"/>
        <v>13.585000000000001</v>
      </c>
      <c r="P191" s="36">
        <f t="shared" si="88"/>
        <v>13.797000000000001</v>
      </c>
      <c r="Q191" s="36">
        <f t="shared" si="84"/>
        <v>13.221999999999998</v>
      </c>
      <c r="R191" s="36">
        <f t="shared" si="85"/>
        <v>13.978999999999999</v>
      </c>
      <c r="S191" s="83"/>
      <c r="T191" s="36">
        <f t="shared" si="87"/>
        <v>52.704999999999998</v>
      </c>
      <c r="U191" s="36">
        <f t="shared" si="86"/>
        <v>54.582999999999998</v>
      </c>
    </row>
    <row r="192" spans="1:22" x14ac:dyDescent="0.2">
      <c r="A192" s="84">
        <v>2008</v>
      </c>
      <c r="B192" s="38">
        <v>5.7629999999999999</v>
      </c>
      <c r="C192" s="38">
        <v>4.6459999999999999</v>
      </c>
      <c r="D192" s="38">
        <v>5.5250000000000004</v>
      </c>
      <c r="E192" s="38">
        <v>4.9039999999999999</v>
      </c>
      <c r="F192" s="38">
        <v>5.3629999999999995</v>
      </c>
      <c r="G192" s="38">
        <v>4.9800000000000004</v>
      </c>
      <c r="H192" s="38">
        <v>5.4489999999999998</v>
      </c>
      <c r="I192" s="38">
        <v>5.4089999999999998</v>
      </c>
      <c r="J192" s="38">
        <v>5.2219999999999995</v>
      </c>
      <c r="K192" s="38">
        <v>5.9210000000000003</v>
      </c>
      <c r="L192" s="38">
        <v>4.2989999999999995</v>
      </c>
      <c r="M192" s="38">
        <v>3.7050000000000001</v>
      </c>
      <c r="N192" s="83"/>
      <c r="O192" s="36">
        <f t="shared" si="89"/>
        <v>15.933999999999999</v>
      </c>
      <c r="P192" s="36">
        <f t="shared" si="88"/>
        <v>15.247</v>
      </c>
      <c r="Q192" s="36">
        <f t="shared" si="84"/>
        <v>16.079999999999998</v>
      </c>
      <c r="R192" s="36">
        <f t="shared" si="85"/>
        <v>13.924999999999999</v>
      </c>
      <c r="S192" s="83"/>
      <c r="T192" s="36">
        <f t="shared" si="87"/>
        <v>61.239999999999995</v>
      </c>
      <c r="U192" s="36">
        <f t="shared" si="86"/>
        <v>61.185999999999993</v>
      </c>
    </row>
    <row r="193" spans="1:21" x14ac:dyDescent="0.2">
      <c r="A193" s="76">
        <v>2009</v>
      </c>
      <c r="B193" s="38">
        <v>4.3290000000000006</v>
      </c>
      <c r="C193" s="38">
        <v>3.129</v>
      </c>
      <c r="D193" s="38">
        <v>3.3039999999999998</v>
      </c>
      <c r="E193" s="38">
        <v>3.548</v>
      </c>
      <c r="F193" s="38">
        <v>4.3650000000000002</v>
      </c>
      <c r="G193" s="38">
        <v>3.7549999999999999</v>
      </c>
      <c r="H193" s="38">
        <v>3.1349999999999998</v>
      </c>
      <c r="I193" s="38">
        <v>3.0449999999999999</v>
      </c>
      <c r="J193" s="38">
        <v>3.4379999999999997</v>
      </c>
      <c r="K193" s="38">
        <v>3.3109999999999999</v>
      </c>
      <c r="L193" s="38">
        <v>2.593</v>
      </c>
      <c r="M193" s="38">
        <v>2.8119999999999998</v>
      </c>
      <c r="N193" s="83"/>
      <c r="O193" s="36">
        <f t="shared" si="89"/>
        <v>10.762</v>
      </c>
      <c r="P193" s="36">
        <f t="shared" si="88"/>
        <v>11.667999999999999</v>
      </c>
      <c r="Q193" s="36">
        <f t="shared" si="84"/>
        <v>9.6179999999999986</v>
      </c>
      <c r="R193" s="36">
        <f t="shared" si="85"/>
        <v>8.7159999999999993</v>
      </c>
      <c r="S193" s="83"/>
      <c r="T193" s="36">
        <f t="shared" si="87"/>
        <v>45.972999999999999</v>
      </c>
      <c r="U193" s="36">
        <f t="shared" si="86"/>
        <v>40.764000000000003</v>
      </c>
    </row>
    <row r="194" spans="1:21" x14ac:dyDescent="0.2">
      <c r="A194" s="76">
        <v>2010</v>
      </c>
      <c r="B194" s="38">
        <v>2.8540000000000001</v>
      </c>
      <c r="C194" s="38">
        <v>2.67</v>
      </c>
      <c r="D194" s="38">
        <v>3.129</v>
      </c>
      <c r="E194" s="38">
        <v>3.2</v>
      </c>
      <c r="F194" s="38">
        <v>2.9729999999999999</v>
      </c>
      <c r="G194" s="38">
        <v>3.1179999999999999</v>
      </c>
      <c r="H194" s="38">
        <v>3.456</v>
      </c>
      <c r="I194" s="38">
        <v>2.2170000000000001</v>
      </c>
      <c r="J194" s="38">
        <v>2.1659999999999999</v>
      </c>
      <c r="K194" s="38">
        <v>3.6669999999999998</v>
      </c>
      <c r="L194" s="38">
        <v>2.843</v>
      </c>
      <c r="M194" s="38">
        <v>2.0819999999999999</v>
      </c>
      <c r="N194" s="83"/>
      <c r="O194" s="36">
        <f t="shared" si="89"/>
        <v>8.6530000000000005</v>
      </c>
      <c r="P194" s="36">
        <f t="shared" si="88"/>
        <v>9.2910000000000004</v>
      </c>
      <c r="Q194" s="36">
        <f t="shared" si="84"/>
        <v>7.8390000000000004</v>
      </c>
      <c r="R194" s="36">
        <f t="shared" si="85"/>
        <v>8.5919999999999987</v>
      </c>
      <c r="S194" s="83"/>
      <c r="T194" s="36">
        <f t="shared" si="87"/>
        <v>34.499000000000002</v>
      </c>
      <c r="U194" s="36">
        <f t="shared" si="86"/>
        <v>34.375</v>
      </c>
    </row>
    <row r="195" spans="1:21" x14ac:dyDescent="0.2">
      <c r="A195" s="76">
        <v>2011</v>
      </c>
      <c r="B195" s="38">
        <v>2.4929999999999999</v>
      </c>
      <c r="C195" s="38">
        <v>2.883</v>
      </c>
      <c r="D195" s="38">
        <v>3.7109999999999999</v>
      </c>
      <c r="E195" s="38">
        <v>3.101</v>
      </c>
      <c r="F195" s="38">
        <v>3.4289999999999998</v>
      </c>
      <c r="G195" s="38">
        <v>2.335</v>
      </c>
      <c r="H195" s="38">
        <v>2.133</v>
      </c>
      <c r="I195" s="38">
        <v>2.5880000000000001</v>
      </c>
      <c r="J195" s="38">
        <v>1.627</v>
      </c>
      <c r="K195" s="38">
        <v>2.9409999999999998</v>
      </c>
      <c r="L195" s="38">
        <v>3.0840000000000001</v>
      </c>
      <c r="M195" s="38">
        <v>2.101</v>
      </c>
      <c r="N195" s="83"/>
      <c r="O195" s="36">
        <f t="shared" si="89"/>
        <v>9.0869999999999997</v>
      </c>
      <c r="P195" s="36">
        <f t="shared" si="88"/>
        <v>8.8649999999999984</v>
      </c>
      <c r="Q195" s="36">
        <f t="shared" si="84"/>
        <v>6.3479999999999999</v>
      </c>
      <c r="R195" s="36">
        <f t="shared" si="85"/>
        <v>8.1260000000000012</v>
      </c>
      <c r="S195" s="83"/>
      <c r="T195" s="36">
        <f t="shared" si="87"/>
        <v>32.891999999999996</v>
      </c>
      <c r="U195" s="36">
        <f t="shared" si="86"/>
        <v>32.426000000000002</v>
      </c>
    </row>
    <row r="196" spans="1:21" x14ac:dyDescent="0.2">
      <c r="A196" s="76">
        <v>2012</v>
      </c>
      <c r="B196" s="38">
        <v>2.956</v>
      </c>
      <c r="C196" s="38">
        <v>2.4649999999999999</v>
      </c>
      <c r="D196" s="38">
        <v>2.1349999999999998</v>
      </c>
      <c r="E196" s="38">
        <v>3.3570000000000002</v>
      </c>
      <c r="F196" s="38">
        <v>2.35</v>
      </c>
      <c r="G196" s="38">
        <v>2.4630000000000001</v>
      </c>
      <c r="H196" s="38">
        <v>3.9630000000000001</v>
      </c>
      <c r="I196" s="38">
        <v>2.617</v>
      </c>
      <c r="J196" s="38">
        <v>2.1469999999999998</v>
      </c>
      <c r="K196" s="38">
        <v>2.4700000000000002</v>
      </c>
      <c r="L196" s="38">
        <v>2.58</v>
      </c>
      <c r="M196" s="38">
        <v>4.4130000000000003</v>
      </c>
      <c r="N196" s="83"/>
      <c r="O196" s="36">
        <f t="shared" si="89"/>
        <v>7.5559999999999992</v>
      </c>
      <c r="P196" s="36">
        <f t="shared" si="88"/>
        <v>8.1700000000000017</v>
      </c>
      <c r="Q196" s="36">
        <f t="shared" si="84"/>
        <v>8.7270000000000003</v>
      </c>
      <c r="R196" s="36">
        <f t="shared" si="85"/>
        <v>9.463000000000001</v>
      </c>
      <c r="S196" s="83"/>
      <c r="T196" s="36">
        <f t="shared" si="87"/>
        <v>32.579000000000008</v>
      </c>
      <c r="U196" s="36">
        <f t="shared" si="86"/>
        <v>33.916000000000004</v>
      </c>
    </row>
    <row r="197" spans="1:21" x14ac:dyDescent="0.2">
      <c r="A197" s="76">
        <v>2013</v>
      </c>
      <c r="B197" s="38">
        <v>2.577</v>
      </c>
      <c r="C197" s="38">
        <v>2.0950000000000002</v>
      </c>
      <c r="D197" s="38">
        <v>2.0230000000000001</v>
      </c>
      <c r="E197" s="38">
        <v>2.2879999999999998</v>
      </c>
      <c r="F197" s="38">
        <v>3.0870000000000002</v>
      </c>
      <c r="G197" s="38">
        <v>2.7050000000000001</v>
      </c>
      <c r="H197" s="38">
        <v>2.1819999999999999</v>
      </c>
      <c r="I197" s="38">
        <v>9.984</v>
      </c>
      <c r="J197" s="38">
        <v>148.37299999999999</v>
      </c>
      <c r="K197" s="38">
        <v>2.9830000000000001</v>
      </c>
      <c r="L197" s="38">
        <v>233.572</v>
      </c>
      <c r="M197" s="38">
        <v>85.921000000000006</v>
      </c>
      <c r="N197" s="83"/>
      <c r="O197" s="36">
        <f t="shared" si="89"/>
        <v>6.6950000000000003</v>
      </c>
      <c r="P197" s="36">
        <f t="shared" si="88"/>
        <v>8.08</v>
      </c>
      <c r="Q197" s="36">
        <f t="shared" si="84"/>
        <v>160.53899999999999</v>
      </c>
      <c r="R197" s="36">
        <f t="shared" si="85"/>
        <v>322.476</v>
      </c>
      <c r="S197" s="83"/>
      <c r="T197" s="36">
        <f t="shared" si="87"/>
        <v>184.77699999999999</v>
      </c>
      <c r="U197" s="36">
        <f t="shared" si="86"/>
        <v>497.78999999999996</v>
      </c>
    </row>
    <row r="198" spans="1:21" x14ac:dyDescent="0.2">
      <c r="A198" s="76">
        <v>2014</v>
      </c>
      <c r="B198" s="38">
        <v>2.1720000000000002</v>
      </c>
      <c r="C198" s="38">
        <v>1.9530000000000001</v>
      </c>
      <c r="D198" s="38">
        <v>2.0750000000000002</v>
      </c>
      <c r="E198" s="38">
        <v>3.6360000000000001</v>
      </c>
      <c r="F198" s="38">
        <v>2.4430000000000001</v>
      </c>
      <c r="G198" s="38">
        <v>2.4159999999999999</v>
      </c>
      <c r="H198" s="38">
        <v>2.33</v>
      </c>
      <c r="I198" s="38">
        <v>2.2080000000000002</v>
      </c>
      <c r="J198" s="38">
        <v>3.8420000000000001</v>
      </c>
      <c r="K198" s="38">
        <v>4.0739999999999998</v>
      </c>
      <c r="L198" s="38">
        <v>2.484</v>
      </c>
      <c r="M198" s="38">
        <v>3.5030000000000001</v>
      </c>
      <c r="N198" s="83"/>
      <c r="O198" s="36">
        <f t="shared" si="89"/>
        <v>6.2</v>
      </c>
      <c r="P198" s="36">
        <f t="shared" si="88"/>
        <v>8.495000000000001</v>
      </c>
      <c r="Q198" s="36">
        <f t="shared" si="84"/>
        <v>8.3800000000000008</v>
      </c>
      <c r="R198" s="36">
        <f t="shared" si="85"/>
        <v>10.061</v>
      </c>
      <c r="S198" s="83"/>
      <c r="T198" s="36">
        <f t="shared" si="87"/>
        <v>345.55099999999999</v>
      </c>
      <c r="U198" s="36">
        <f t="shared" si="86"/>
        <v>33.136000000000003</v>
      </c>
    </row>
    <row r="199" spans="1:21" ht="11.25" customHeight="1" x14ac:dyDescent="0.2">
      <c r="A199" s="76">
        <v>2015</v>
      </c>
      <c r="B199" s="38">
        <v>1.8939999999999999</v>
      </c>
      <c r="C199" s="38">
        <v>2.3460000000000001</v>
      </c>
      <c r="D199" s="38">
        <v>2.1260000000000003</v>
      </c>
      <c r="E199" s="38">
        <v>1.78</v>
      </c>
      <c r="F199" s="38">
        <v>1.923</v>
      </c>
      <c r="G199" s="38">
        <v>1.9550000000000001</v>
      </c>
      <c r="H199" s="38">
        <v>1.9969999999999999</v>
      </c>
      <c r="I199" s="38">
        <v>2.0939999999999999</v>
      </c>
      <c r="J199" s="38">
        <v>1.7769999999999999</v>
      </c>
      <c r="K199" s="38">
        <v>2.5950000000000002</v>
      </c>
      <c r="L199" s="38">
        <v>1.899</v>
      </c>
      <c r="M199" s="38">
        <v>1.468</v>
      </c>
      <c r="N199" s="83"/>
      <c r="O199" s="36">
        <f t="shared" si="89"/>
        <v>6.3660000000000005</v>
      </c>
      <c r="P199" s="36">
        <f t="shared" si="88"/>
        <v>5.6580000000000004</v>
      </c>
      <c r="Q199" s="36">
        <f t="shared" si="84"/>
        <v>5.8679999999999994</v>
      </c>
      <c r="R199" s="36">
        <f t="shared" si="85"/>
        <v>5.9619999999999997</v>
      </c>
      <c r="S199" s="83"/>
      <c r="T199" s="36">
        <f t="shared" si="87"/>
        <v>27.952999999999999</v>
      </c>
      <c r="U199" s="36">
        <f t="shared" si="86"/>
        <v>23.853999999999999</v>
      </c>
    </row>
    <row r="200" spans="1:21" x14ac:dyDescent="0.2">
      <c r="A200" s="76">
        <v>2016</v>
      </c>
      <c r="B200" s="38">
        <v>1.6139999999999999</v>
      </c>
      <c r="C200" s="38">
        <v>1.196</v>
      </c>
      <c r="D200" s="38">
        <v>1.619</v>
      </c>
      <c r="E200" s="38">
        <v>1.736</v>
      </c>
      <c r="F200" s="38">
        <v>1.448</v>
      </c>
      <c r="G200" s="38">
        <v>1.73</v>
      </c>
      <c r="H200" s="38">
        <v>1.4160000000000001</v>
      </c>
      <c r="I200" s="38">
        <v>2.1149999999999998</v>
      </c>
      <c r="J200" s="38">
        <v>3.2829999999999999</v>
      </c>
      <c r="K200" s="38">
        <v>4.0730000000000004</v>
      </c>
      <c r="L200" s="38">
        <v>3.492</v>
      </c>
      <c r="M200" s="38">
        <v>2.238</v>
      </c>
      <c r="N200" s="83"/>
      <c r="O200" s="36">
        <f t="shared" si="89"/>
        <v>4.4289999999999994</v>
      </c>
      <c r="P200" s="36">
        <f t="shared" si="88"/>
        <v>4.9139999999999997</v>
      </c>
      <c r="Q200" s="36">
        <f t="shared" si="84"/>
        <v>6.8140000000000001</v>
      </c>
      <c r="R200" s="36">
        <f t="shared" si="85"/>
        <v>9.8030000000000008</v>
      </c>
      <c r="S200" s="83"/>
      <c r="T200" s="36">
        <f t="shared" si="87"/>
        <v>22.119</v>
      </c>
      <c r="U200" s="36">
        <f t="shared" si="86"/>
        <v>25.96</v>
      </c>
    </row>
    <row r="201" spans="1:21" x14ac:dyDescent="0.2">
      <c r="A201" s="76">
        <v>2017</v>
      </c>
      <c r="B201" s="38">
        <v>1.907</v>
      </c>
      <c r="C201" s="38">
        <v>1.9700000000000002</v>
      </c>
      <c r="D201" s="38">
        <v>2.1319999999999997</v>
      </c>
      <c r="E201" s="38">
        <v>2.98</v>
      </c>
      <c r="F201" s="38">
        <v>3.258</v>
      </c>
      <c r="G201" s="38">
        <v>2.2670000000000003</v>
      </c>
      <c r="H201" s="38">
        <v>2.0939999999999999</v>
      </c>
      <c r="I201" s="38">
        <v>1.4179999999999999</v>
      </c>
      <c r="J201" s="38">
        <v>1.536</v>
      </c>
      <c r="K201" s="38">
        <v>1.7989999999999999</v>
      </c>
      <c r="L201" s="38">
        <v>1.306</v>
      </c>
      <c r="M201" s="38">
        <v>1.1819999999999999</v>
      </c>
      <c r="N201" s="83"/>
      <c r="O201" s="36">
        <f t="shared" si="89"/>
        <v>6.0090000000000003</v>
      </c>
      <c r="P201" s="36">
        <f t="shared" si="88"/>
        <v>8.504999999999999</v>
      </c>
      <c r="Q201" s="36">
        <f t="shared" si="84"/>
        <v>5.048</v>
      </c>
      <c r="R201" s="36">
        <f t="shared" si="85"/>
        <v>4.2869999999999999</v>
      </c>
      <c r="S201" s="83"/>
      <c r="T201" s="36">
        <f t="shared" si="87"/>
        <v>29.365000000000002</v>
      </c>
      <c r="U201" s="36">
        <f t="shared" si="86"/>
        <v>23.848999999999997</v>
      </c>
    </row>
    <row r="202" spans="1:21" x14ac:dyDescent="0.2">
      <c r="A202" s="76">
        <v>2018</v>
      </c>
      <c r="B202" s="38">
        <v>1.5229999999999999</v>
      </c>
      <c r="C202" s="38">
        <v>1.4690000000000001</v>
      </c>
      <c r="D202" s="38">
        <v>1.4330000000000001</v>
      </c>
      <c r="E202" s="38">
        <v>1.7529999999999999</v>
      </c>
      <c r="F202" s="38">
        <v>4.62</v>
      </c>
      <c r="G202" s="38">
        <v>3.2770000000000001</v>
      </c>
      <c r="H202" s="38">
        <v>2.548</v>
      </c>
      <c r="I202" s="124">
        <v>3.5459999999999998</v>
      </c>
      <c r="J202" s="125">
        <v>3.2480000000000002</v>
      </c>
      <c r="K202" s="38">
        <v>2.7749999999999999</v>
      </c>
      <c r="L202" s="38">
        <v>2.2639999999999998</v>
      </c>
      <c r="M202" s="38">
        <v>2.2650000000000001</v>
      </c>
      <c r="N202" s="83"/>
      <c r="O202" s="36">
        <f t="shared" si="89"/>
        <v>4.4249999999999998</v>
      </c>
      <c r="P202" s="36">
        <f t="shared" si="88"/>
        <v>9.65</v>
      </c>
      <c r="Q202" s="36">
        <f t="shared" si="84"/>
        <v>9.3419999999999987</v>
      </c>
      <c r="R202" s="36">
        <f t="shared" si="85"/>
        <v>7.3040000000000003</v>
      </c>
      <c r="S202" s="83"/>
      <c r="T202" s="36">
        <f t="shared" si="87"/>
        <v>27.704000000000001</v>
      </c>
      <c r="U202" s="36">
        <f t="shared" si="86"/>
        <v>30.720999999999997</v>
      </c>
    </row>
    <row r="203" spans="1:21" x14ac:dyDescent="0.2">
      <c r="A203" s="76">
        <v>2019</v>
      </c>
      <c r="B203" s="38">
        <v>1.921</v>
      </c>
      <c r="C203" s="38">
        <v>2.1709999999999998</v>
      </c>
      <c r="D203" s="38">
        <v>1.754</v>
      </c>
      <c r="E203" s="38">
        <v>2.0910000000000002</v>
      </c>
      <c r="F203" s="38">
        <v>2.508</v>
      </c>
      <c r="G203" s="38">
        <v>2.61</v>
      </c>
      <c r="H203" s="38">
        <v>2.3540000000000001</v>
      </c>
      <c r="I203" s="38">
        <v>2.0259999999999998</v>
      </c>
      <c r="J203" s="38">
        <v>2.39</v>
      </c>
      <c r="K203" s="38">
        <v>2.0129999999999999</v>
      </c>
      <c r="L203" s="38">
        <v>1.6240000000000001</v>
      </c>
      <c r="M203" s="38">
        <v>1.41</v>
      </c>
      <c r="N203" s="83"/>
      <c r="O203" s="36">
        <f t="shared" si="89"/>
        <v>5.8460000000000001</v>
      </c>
      <c r="P203" s="36">
        <f t="shared" si="88"/>
        <v>7.2089999999999996</v>
      </c>
      <c r="Q203" s="36">
        <f t="shared" si="84"/>
        <v>6.77</v>
      </c>
      <c r="R203" s="36">
        <f t="shared" si="85"/>
        <v>5.0469999999999997</v>
      </c>
      <c r="S203" s="83"/>
      <c r="T203" s="36">
        <f t="shared" si="87"/>
        <v>27.129000000000001</v>
      </c>
      <c r="U203" s="36">
        <f t="shared" si="86"/>
        <v>24.872</v>
      </c>
    </row>
    <row r="204" spans="1:21" x14ac:dyDescent="0.2">
      <c r="A204" s="76">
        <v>2020</v>
      </c>
      <c r="B204" s="38">
        <v>2.5409999999999999</v>
      </c>
      <c r="C204" s="38">
        <v>1.458</v>
      </c>
      <c r="D204" s="38">
        <v>1.7250000000000001</v>
      </c>
      <c r="E204" s="38">
        <v>1.1619999999999999</v>
      </c>
      <c r="F204" s="38">
        <v>1.0980000000000001</v>
      </c>
      <c r="G204" s="38">
        <v>1.6579999999999999</v>
      </c>
      <c r="H204" s="38">
        <v>1.8109999999999999</v>
      </c>
      <c r="I204" s="38">
        <v>1.881</v>
      </c>
      <c r="J204" s="38">
        <v>1.9830000000000001</v>
      </c>
      <c r="K204" s="38">
        <v>1.9079999999999999</v>
      </c>
      <c r="L204" s="38">
        <v>1.9990000000000001</v>
      </c>
      <c r="M204" s="38">
        <v>2.04</v>
      </c>
      <c r="N204" s="83"/>
      <c r="O204" s="36">
        <f t="shared" si="89"/>
        <v>5.7240000000000002</v>
      </c>
      <c r="P204" s="36">
        <f t="shared" si="88"/>
        <v>3.9179999999999997</v>
      </c>
      <c r="Q204" s="36">
        <f t="shared" si="84"/>
        <v>5.6750000000000007</v>
      </c>
      <c r="R204" s="36">
        <f t="shared" si="85"/>
        <v>5.9470000000000001</v>
      </c>
      <c r="S204" s="83"/>
      <c r="T204" s="36">
        <f t="shared" si="87"/>
        <v>20.364000000000001</v>
      </c>
      <c r="U204" s="36">
        <f t="shared" si="86"/>
        <v>21.263999999999999</v>
      </c>
    </row>
    <row r="205" spans="1:21" x14ac:dyDescent="0.2">
      <c r="A205" s="76">
        <v>2021</v>
      </c>
      <c r="B205" s="38">
        <v>2.593</v>
      </c>
      <c r="C205" s="38">
        <v>2.0619999999999998</v>
      </c>
      <c r="D205" s="38">
        <v>1.984</v>
      </c>
      <c r="E205" s="38">
        <v>2.2189999999999999</v>
      </c>
      <c r="F205" s="38">
        <v>2.6890000000000001</v>
      </c>
      <c r="G205" s="38">
        <v>2.5619999999999998</v>
      </c>
      <c r="H205" s="38">
        <v>2.0369999999999999</v>
      </c>
      <c r="I205" s="38">
        <v>2.7629999999999999</v>
      </c>
      <c r="J205" s="38">
        <v>2.431</v>
      </c>
      <c r="K205" s="38">
        <v>3.806</v>
      </c>
      <c r="L205" s="38">
        <v>2.0760000000000001</v>
      </c>
      <c r="M205" s="38">
        <v>2.2040000000000002</v>
      </c>
      <c r="N205" s="83"/>
      <c r="O205" s="36">
        <f t="shared" si="89"/>
        <v>6.6389999999999993</v>
      </c>
      <c r="P205" s="36">
        <f t="shared" si="88"/>
        <v>7.4699999999999989</v>
      </c>
      <c r="Q205" s="36">
        <f>SUM(H205:J205)</f>
        <v>7.2309999999999999</v>
      </c>
      <c r="R205" s="36">
        <f>SUM(K205:M205)</f>
        <v>8.0860000000000003</v>
      </c>
      <c r="S205" s="83"/>
      <c r="T205" s="36">
        <f>R204+O205+P205+Q205</f>
        <v>27.286999999999999</v>
      </c>
      <c r="U205" s="36">
        <f>O205+P205+Q205+R205</f>
        <v>29.425999999999995</v>
      </c>
    </row>
    <row r="206" spans="1:21" x14ac:dyDescent="0.2">
      <c r="A206" s="76">
        <v>2022</v>
      </c>
      <c r="B206" s="38">
        <v>2.5590000000000002</v>
      </c>
      <c r="C206" s="38">
        <v>2.282</v>
      </c>
      <c r="D206" s="38">
        <v>2.0070000000000001</v>
      </c>
      <c r="E206" s="38">
        <v>2.0950000000000002</v>
      </c>
      <c r="F206" s="38">
        <v>2.9159999999999999</v>
      </c>
      <c r="G206" s="38">
        <v>2.0270000000000001</v>
      </c>
      <c r="H206" s="38">
        <v>1.9610000000000001</v>
      </c>
      <c r="I206" s="38">
        <v>1.5680000000000001</v>
      </c>
      <c r="J206" s="38">
        <v>1.6950000000000001</v>
      </c>
      <c r="K206" s="38">
        <v>1.998</v>
      </c>
      <c r="L206" s="38">
        <v>1.75</v>
      </c>
      <c r="M206" s="38">
        <v>1.629</v>
      </c>
      <c r="N206" s="83"/>
      <c r="O206" s="36">
        <f t="shared" si="89"/>
        <v>6.8480000000000008</v>
      </c>
      <c r="P206" s="36">
        <f t="shared" ref="P206:P208" si="90">SUM(E206:G206)</f>
        <v>7.0380000000000003</v>
      </c>
      <c r="Q206" s="36">
        <f>SUM(H206:J206)</f>
        <v>5.2240000000000002</v>
      </c>
      <c r="R206" s="36">
        <f>SUM(K206:M206)</f>
        <v>5.3770000000000007</v>
      </c>
      <c r="S206" s="83"/>
      <c r="T206" s="36">
        <f>R205+O206+P206+Q206</f>
        <v>27.196000000000002</v>
      </c>
      <c r="U206" s="36">
        <f>O206+P206+Q206+R206</f>
        <v>24.487000000000002</v>
      </c>
    </row>
    <row r="207" spans="1:21" x14ac:dyDescent="0.2">
      <c r="A207" s="76">
        <v>2023</v>
      </c>
      <c r="B207" s="36">
        <v>2.085</v>
      </c>
      <c r="C207" s="38">
        <v>1.6890000000000001</v>
      </c>
      <c r="D207" s="38">
        <v>1.764</v>
      </c>
      <c r="E207" s="38">
        <v>1.9510000000000001</v>
      </c>
      <c r="F207" s="38">
        <v>1.9410000000000001</v>
      </c>
      <c r="G207" s="38">
        <v>1.718</v>
      </c>
      <c r="H207" s="38">
        <v>1.9570000000000001</v>
      </c>
      <c r="I207" s="38">
        <v>1.744</v>
      </c>
      <c r="J207" s="38">
        <v>1.6719999999999999</v>
      </c>
      <c r="K207" s="38">
        <v>2.0569999999999999</v>
      </c>
      <c r="L207" s="38">
        <v>1.617</v>
      </c>
      <c r="M207" s="38">
        <v>2.157</v>
      </c>
      <c r="N207" s="83"/>
      <c r="O207" s="36">
        <f t="shared" si="89"/>
        <v>5.5380000000000003</v>
      </c>
      <c r="P207" s="36">
        <f t="shared" si="90"/>
        <v>5.61</v>
      </c>
      <c r="Q207" s="36">
        <f>SUM(H207:J207)</f>
        <v>5.3730000000000002</v>
      </c>
      <c r="R207" s="36">
        <f>SUM(K207:M207)</f>
        <v>5.8309999999999995</v>
      </c>
      <c r="S207" s="83"/>
      <c r="T207" s="36">
        <f>R206+O207+P207+Q207</f>
        <v>21.898000000000003</v>
      </c>
      <c r="U207" s="36">
        <f>O207+P207+Q207+R207</f>
        <v>22.352</v>
      </c>
    </row>
    <row r="208" spans="1:21" x14ac:dyDescent="0.2">
      <c r="A208" s="76">
        <v>2024</v>
      </c>
      <c r="B208" s="36">
        <v>2.0640000000000001</v>
      </c>
      <c r="C208" s="38">
        <v>1.613</v>
      </c>
      <c r="D208" s="38">
        <v>2.149</v>
      </c>
      <c r="E208" s="38">
        <v>2.044</v>
      </c>
      <c r="F208" s="38">
        <v>1.623</v>
      </c>
      <c r="G208" s="38">
        <v>2.0430000000000001</v>
      </c>
      <c r="H208" s="38">
        <v>1.7649999999999999</v>
      </c>
      <c r="I208" s="38">
        <v>2.2029999999999998</v>
      </c>
      <c r="J208" s="38">
        <v>2.1339999999999999</v>
      </c>
      <c r="K208" s="38">
        <v>2.2810000000000001</v>
      </c>
      <c r="L208" s="38">
        <v>1.873</v>
      </c>
      <c r="M208" s="38" t="s">
        <v>152</v>
      </c>
      <c r="N208" s="83"/>
      <c r="O208" s="36">
        <f t="shared" si="89"/>
        <v>5.8260000000000005</v>
      </c>
      <c r="P208" s="36">
        <f t="shared" si="90"/>
        <v>5.71</v>
      </c>
      <c r="Q208" s="36">
        <f>SUM(H208:J208)</f>
        <v>6.1020000000000003</v>
      </c>
      <c r="R208" s="38" t="s">
        <v>152</v>
      </c>
      <c r="S208" s="83"/>
      <c r="T208" s="36">
        <f>R207+O208+P208+Q208</f>
        <v>23.469000000000001</v>
      </c>
      <c r="U208" s="38" t="s">
        <v>152</v>
      </c>
    </row>
    <row r="209" spans="1:21" x14ac:dyDescent="0.2">
      <c r="A209" s="12" t="s">
        <v>155</v>
      </c>
      <c r="B209" s="38"/>
      <c r="C209" s="38"/>
      <c r="D209" s="38"/>
      <c r="E209" s="38"/>
      <c r="F209" s="38"/>
      <c r="G209" s="38"/>
      <c r="H209" s="38"/>
      <c r="I209" s="38"/>
      <c r="J209" s="38"/>
      <c r="K209" s="38"/>
      <c r="L209" s="38"/>
      <c r="M209" s="38"/>
      <c r="N209" s="83"/>
      <c r="O209" s="36"/>
      <c r="P209" s="36"/>
      <c r="Q209" s="36"/>
      <c r="R209" s="36"/>
      <c r="S209" s="83"/>
      <c r="T209" s="36"/>
      <c r="U209" s="36"/>
    </row>
    <row r="210" spans="1:21" x14ac:dyDescent="0.2">
      <c r="A210" s="76">
        <v>1992</v>
      </c>
      <c r="B210" s="38">
        <f t="shared" ref="B210:M210" si="91">B108+B142+B176</f>
        <v>639.62200000000007</v>
      </c>
      <c r="C210" s="38">
        <f t="shared" si="91"/>
        <v>636.83799999999997</v>
      </c>
      <c r="D210" s="38">
        <f t="shared" si="91"/>
        <v>730.95500000000015</v>
      </c>
      <c r="E210" s="38">
        <f t="shared" si="91"/>
        <v>727.99900000000014</v>
      </c>
      <c r="F210" s="38">
        <f t="shared" si="91"/>
        <v>671.43000000000006</v>
      </c>
      <c r="G210" s="38">
        <f t="shared" si="91"/>
        <v>808.81900000000007</v>
      </c>
      <c r="H210" s="38">
        <f t="shared" si="91"/>
        <v>770.96299999999997</v>
      </c>
      <c r="I210" s="38">
        <f t="shared" si="91"/>
        <v>791.649</v>
      </c>
      <c r="J210" s="38">
        <f t="shared" si="91"/>
        <v>855.74900000000002</v>
      </c>
      <c r="K210" s="38">
        <f t="shared" si="91"/>
        <v>839.80899999999997</v>
      </c>
      <c r="L210" s="38">
        <f t="shared" si="91"/>
        <v>744.80500000000006</v>
      </c>
      <c r="M210" s="38">
        <f t="shared" si="91"/>
        <v>717.89700000000016</v>
      </c>
      <c r="N210" s="83"/>
      <c r="O210" s="36">
        <f t="shared" ref="O210:O234" si="92">SUM(B210:D210)</f>
        <v>2007.4150000000002</v>
      </c>
      <c r="P210" s="36">
        <f>SUM(E210:G210)</f>
        <v>2208.248</v>
      </c>
      <c r="Q210" s="36">
        <f>SUM(H210:J210)</f>
        <v>2418.3609999999999</v>
      </c>
      <c r="R210" s="36">
        <f t="shared" ref="R210:R219" si="93">SUM(K210:M210)</f>
        <v>2302.5110000000004</v>
      </c>
      <c r="S210" s="83"/>
      <c r="T210" s="36">
        <f>T108+T142+T176</f>
        <v>8875.4759999999987</v>
      </c>
      <c r="U210" s="36">
        <f t="shared" ref="U210:U219" si="94">SUM(O210:R210)</f>
        <v>8936.5349999999999</v>
      </c>
    </row>
    <row r="211" spans="1:21" x14ac:dyDescent="0.2">
      <c r="A211" s="76">
        <v>1993</v>
      </c>
      <c r="B211" s="38">
        <f t="shared" ref="B211:M211" si="95">B109+B143+B177</f>
        <v>630.87</v>
      </c>
      <c r="C211" s="38">
        <f t="shared" si="95"/>
        <v>634.61</v>
      </c>
      <c r="D211" s="38">
        <f t="shared" si="95"/>
        <v>801.74300000000005</v>
      </c>
      <c r="E211" s="38">
        <f t="shared" si="95"/>
        <v>696.83900000000006</v>
      </c>
      <c r="F211" s="38">
        <f t="shared" si="95"/>
        <v>692.70699999999999</v>
      </c>
      <c r="G211" s="38">
        <f t="shared" si="95"/>
        <v>811.91099999999994</v>
      </c>
      <c r="H211" s="38">
        <f t="shared" si="95"/>
        <v>796.87599999999998</v>
      </c>
      <c r="I211" s="38">
        <f t="shared" si="95"/>
        <v>837.94100000000003</v>
      </c>
      <c r="J211" s="38">
        <f t="shared" si="95"/>
        <v>857.16100000000006</v>
      </c>
      <c r="K211" s="38">
        <f t="shared" si="95"/>
        <v>791.51800000000003</v>
      </c>
      <c r="L211" s="38">
        <f t="shared" si="95"/>
        <v>763.48699999999997</v>
      </c>
      <c r="M211" s="38">
        <f t="shared" si="95"/>
        <v>748.32900000000006</v>
      </c>
      <c r="N211" s="83"/>
      <c r="O211" s="36">
        <f t="shared" si="92"/>
        <v>2067.223</v>
      </c>
      <c r="P211" s="36">
        <f t="shared" ref="P211:P234" si="96">SUM(E211:G211)</f>
        <v>2201.4569999999999</v>
      </c>
      <c r="Q211" s="36">
        <f t="shared" ref="Q211:Q234" si="97">SUM(H211:J211)</f>
        <v>2491.9780000000001</v>
      </c>
      <c r="R211" s="36">
        <f t="shared" si="93"/>
        <v>2303.3340000000003</v>
      </c>
      <c r="S211" s="83"/>
      <c r="T211" s="36">
        <f t="shared" ref="T211:T219" si="98">R210+O211+P211+Q211</f>
        <v>9063.1690000000017</v>
      </c>
      <c r="U211" s="36">
        <f t="shared" si="94"/>
        <v>9063.9920000000002</v>
      </c>
    </row>
    <row r="212" spans="1:21" x14ac:dyDescent="0.2">
      <c r="A212" s="76">
        <v>1994</v>
      </c>
      <c r="B212" s="38">
        <f t="shared" ref="B212:M212" si="99">B110+B144+B178</f>
        <v>656.66</v>
      </c>
      <c r="C212" s="38">
        <f t="shared" si="99"/>
        <v>681.49499999999989</v>
      </c>
      <c r="D212" s="38">
        <f t="shared" si="99"/>
        <v>806.06600000000003</v>
      </c>
      <c r="E212" s="38">
        <f t="shared" si="99"/>
        <v>675.1880000000001</v>
      </c>
      <c r="F212" s="38">
        <f t="shared" si="99"/>
        <v>758.47699999999998</v>
      </c>
      <c r="G212" s="38">
        <f t="shared" si="99"/>
        <v>873.08500000000004</v>
      </c>
      <c r="H212" s="38">
        <f t="shared" si="99"/>
        <v>787.101</v>
      </c>
      <c r="I212" s="38">
        <f t="shared" si="99"/>
        <v>855.92100000000005</v>
      </c>
      <c r="J212" s="38">
        <f t="shared" si="99"/>
        <v>936.02699999999993</v>
      </c>
      <c r="K212" s="38">
        <f t="shared" si="99"/>
        <v>804.673</v>
      </c>
      <c r="L212" s="38">
        <f t="shared" si="99"/>
        <v>766.62499999999989</v>
      </c>
      <c r="M212" s="38">
        <f t="shared" si="99"/>
        <v>720.05400000000009</v>
      </c>
      <c r="N212" s="83"/>
      <c r="O212" s="36">
        <f t="shared" si="92"/>
        <v>2144.2209999999995</v>
      </c>
      <c r="P212" s="36">
        <f t="shared" si="96"/>
        <v>2306.75</v>
      </c>
      <c r="Q212" s="36">
        <f t="shared" si="97"/>
        <v>2579.049</v>
      </c>
      <c r="R212" s="36">
        <f t="shared" si="93"/>
        <v>2291.3519999999999</v>
      </c>
      <c r="S212" s="83"/>
      <c r="T212" s="36">
        <f t="shared" si="98"/>
        <v>9333.3539999999994</v>
      </c>
      <c r="U212" s="36">
        <f t="shared" si="94"/>
        <v>9321.3719999999994</v>
      </c>
    </row>
    <row r="213" spans="1:21" x14ac:dyDescent="0.2">
      <c r="A213" s="86">
        <v>1995</v>
      </c>
      <c r="B213" s="38">
        <f t="shared" ref="B213:M213" si="100">B111+B145+B179</f>
        <v>654.59700000000009</v>
      </c>
      <c r="C213" s="38">
        <f t="shared" si="100"/>
        <v>652.55499999999995</v>
      </c>
      <c r="D213" s="38">
        <f t="shared" si="100"/>
        <v>819.81100000000015</v>
      </c>
      <c r="E213" s="38">
        <f t="shared" si="100"/>
        <v>702.61</v>
      </c>
      <c r="F213" s="38">
        <f t="shared" si="100"/>
        <v>785.69099999999992</v>
      </c>
      <c r="G213" s="38">
        <f t="shared" si="100"/>
        <v>846.01900000000001</v>
      </c>
      <c r="H213" s="38">
        <f t="shared" si="100"/>
        <v>771.65899999999999</v>
      </c>
      <c r="I213" s="38">
        <f t="shared" si="100"/>
        <v>913.82400000000007</v>
      </c>
      <c r="J213" s="38">
        <f t="shared" si="100"/>
        <v>899.11099999999999</v>
      </c>
      <c r="K213" s="38">
        <f t="shared" si="100"/>
        <v>860.78100000000006</v>
      </c>
      <c r="L213" s="38">
        <f t="shared" si="100"/>
        <v>822.73399999999992</v>
      </c>
      <c r="M213" s="38">
        <f t="shared" si="100"/>
        <v>721.24999999999989</v>
      </c>
      <c r="N213" s="83"/>
      <c r="O213" s="36">
        <f t="shared" si="92"/>
        <v>2126.9630000000002</v>
      </c>
      <c r="P213" s="36">
        <f t="shared" si="96"/>
        <v>2334.3199999999997</v>
      </c>
      <c r="Q213" s="36">
        <f t="shared" si="97"/>
        <v>2584.5940000000001</v>
      </c>
      <c r="R213" s="36">
        <f t="shared" si="93"/>
        <v>2404.7649999999999</v>
      </c>
      <c r="S213" s="83"/>
      <c r="T213" s="36">
        <f t="shared" si="98"/>
        <v>9337.2289999999994</v>
      </c>
      <c r="U213" s="36">
        <f t="shared" si="94"/>
        <v>9450.6419999999998</v>
      </c>
    </row>
    <row r="214" spans="1:21" ht="12.75" customHeight="1" x14ac:dyDescent="0.2">
      <c r="A214" s="86">
        <v>1996</v>
      </c>
      <c r="B214" s="38">
        <f t="shared" ref="B214:M214" si="101">B112+B146+B180</f>
        <v>676.27499999999998</v>
      </c>
      <c r="C214" s="38">
        <f t="shared" si="101"/>
        <v>723.56200000000001</v>
      </c>
      <c r="D214" s="38">
        <f t="shared" si="101"/>
        <v>815.26199999999994</v>
      </c>
      <c r="E214" s="38">
        <f t="shared" si="101"/>
        <v>784.66699999999992</v>
      </c>
      <c r="F214" s="38">
        <f t="shared" si="101"/>
        <v>799.78000000000009</v>
      </c>
      <c r="G214" s="38">
        <f t="shared" si="101"/>
        <v>805.90399999999988</v>
      </c>
      <c r="H214" s="38">
        <f t="shared" si="101"/>
        <v>822.06599999999992</v>
      </c>
      <c r="I214" s="38">
        <f t="shared" si="101"/>
        <v>838.33400000000006</v>
      </c>
      <c r="J214" s="38">
        <f t="shared" si="101"/>
        <v>896.11899999999991</v>
      </c>
      <c r="K214" s="38">
        <f t="shared" si="101"/>
        <v>901.39599999999984</v>
      </c>
      <c r="L214" s="38">
        <f t="shared" si="101"/>
        <v>824.38600000000008</v>
      </c>
      <c r="M214" s="38">
        <f t="shared" si="101"/>
        <v>730.90200000000004</v>
      </c>
      <c r="N214" s="83"/>
      <c r="O214" s="36">
        <f t="shared" si="92"/>
        <v>2215.0990000000002</v>
      </c>
      <c r="P214" s="36">
        <f t="shared" si="96"/>
        <v>2390.3510000000001</v>
      </c>
      <c r="Q214" s="36">
        <f t="shared" si="97"/>
        <v>2556.5190000000002</v>
      </c>
      <c r="R214" s="36">
        <f t="shared" si="93"/>
        <v>2456.6840000000002</v>
      </c>
      <c r="S214" s="83"/>
      <c r="T214" s="36">
        <f t="shared" si="98"/>
        <v>9566.7340000000004</v>
      </c>
      <c r="U214" s="36">
        <f t="shared" si="94"/>
        <v>9618.6530000000021</v>
      </c>
    </row>
    <row r="215" spans="1:21" x14ac:dyDescent="0.2">
      <c r="A215" s="86">
        <v>1997</v>
      </c>
      <c r="B215" s="38">
        <f t="shared" ref="B215:M215" si="102">B113+B147+B181</f>
        <v>712.3649999999999</v>
      </c>
      <c r="C215" s="38">
        <f t="shared" si="102"/>
        <v>698.76199999999994</v>
      </c>
      <c r="D215" s="38">
        <f t="shared" si="102"/>
        <v>804.05100000000004</v>
      </c>
      <c r="E215" s="38">
        <f t="shared" si="102"/>
        <v>765.50400000000002</v>
      </c>
      <c r="F215" s="38">
        <f t="shared" si="102"/>
        <v>809.71299999999997</v>
      </c>
      <c r="G215" s="38">
        <f t="shared" si="102"/>
        <v>853.52999999999986</v>
      </c>
      <c r="H215" s="38">
        <f t="shared" si="102"/>
        <v>826.63300000000015</v>
      </c>
      <c r="I215" s="38">
        <f t="shared" si="102"/>
        <v>866.58300000000008</v>
      </c>
      <c r="J215" s="38">
        <f t="shared" si="102"/>
        <v>948.11299999999994</v>
      </c>
      <c r="K215" s="38">
        <f t="shared" si="102"/>
        <v>924.35500000000013</v>
      </c>
      <c r="L215" s="38">
        <f t="shared" si="102"/>
        <v>785.36400000000003</v>
      </c>
      <c r="M215" s="38">
        <f t="shared" si="102"/>
        <v>759.63799999999992</v>
      </c>
      <c r="N215" s="83"/>
      <c r="O215" s="36">
        <f t="shared" si="92"/>
        <v>2215.1779999999999</v>
      </c>
      <c r="P215" s="36">
        <f t="shared" si="96"/>
        <v>2428.7469999999998</v>
      </c>
      <c r="Q215" s="36">
        <f t="shared" si="97"/>
        <v>2641.3290000000002</v>
      </c>
      <c r="R215" s="36">
        <f t="shared" si="93"/>
        <v>2469.357</v>
      </c>
      <c r="S215" s="83"/>
      <c r="T215" s="36">
        <f t="shared" si="98"/>
        <v>9741.9380000000001</v>
      </c>
      <c r="U215" s="36">
        <f t="shared" si="94"/>
        <v>9754.610999999999</v>
      </c>
    </row>
    <row r="216" spans="1:21" x14ac:dyDescent="0.2">
      <c r="A216" s="86">
        <v>1998</v>
      </c>
      <c r="B216" s="38">
        <f t="shared" ref="B216:M216" si="103">B114+B148+B182</f>
        <v>701.00599999999997</v>
      </c>
      <c r="C216" s="38">
        <f t="shared" si="103"/>
        <v>717.649</v>
      </c>
      <c r="D216" s="38">
        <f t="shared" si="103"/>
        <v>842.62099999999998</v>
      </c>
      <c r="E216" s="38">
        <f t="shared" si="103"/>
        <v>787.29100000000017</v>
      </c>
      <c r="F216" s="38">
        <f t="shared" si="103"/>
        <v>784.08300000000008</v>
      </c>
      <c r="G216" s="38">
        <f t="shared" si="103"/>
        <v>894.01200000000006</v>
      </c>
      <c r="H216" s="38">
        <f t="shared" si="103"/>
        <v>842.80500000000006</v>
      </c>
      <c r="I216" s="38">
        <f t="shared" si="103"/>
        <v>842.71600000000001</v>
      </c>
      <c r="J216" s="38">
        <f t="shared" si="103"/>
        <v>933.22899999999981</v>
      </c>
      <c r="K216" s="38">
        <f t="shared" si="103"/>
        <v>912.35700000000008</v>
      </c>
      <c r="L216" s="38">
        <f t="shared" si="103"/>
        <v>822.96699999999987</v>
      </c>
      <c r="M216" s="38">
        <f t="shared" si="103"/>
        <v>772.91000000000008</v>
      </c>
      <c r="N216" s="83"/>
      <c r="O216" s="36">
        <f t="shared" si="92"/>
        <v>2261.2759999999998</v>
      </c>
      <c r="P216" s="36">
        <f t="shared" si="96"/>
        <v>2465.3860000000004</v>
      </c>
      <c r="Q216" s="36">
        <f t="shared" si="97"/>
        <v>2618.75</v>
      </c>
      <c r="R216" s="36">
        <f t="shared" si="93"/>
        <v>2508.2340000000004</v>
      </c>
      <c r="S216" s="83"/>
      <c r="T216" s="36">
        <f t="shared" si="98"/>
        <v>9814.7690000000002</v>
      </c>
      <c r="U216" s="36">
        <f t="shared" si="94"/>
        <v>9853.6460000000006</v>
      </c>
    </row>
    <row r="217" spans="1:21" x14ac:dyDescent="0.2">
      <c r="A217" s="86">
        <v>1999</v>
      </c>
      <c r="B217" s="38">
        <f t="shared" ref="B217:M217" si="104">B115+B149+B183</f>
        <v>704.1049999999999</v>
      </c>
      <c r="C217" s="38">
        <f t="shared" si="104"/>
        <v>725.21999999999991</v>
      </c>
      <c r="D217" s="38">
        <f t="shared" si="104"/>
        <v>841.75800000000004</v>
      </c>
      <c r="E217" s="38">
        <f t="shared" si="104"/>
        <v>813.56600000000003</v>
      </c>
      <c r="F217" s="38">
        <f t="shared" si="104"/>
        <v>874.81299999999999</v>
      </c>
      <c r="G217" s="38">
        <f t="shared" si="104"/>
        <v>905.67369999999994</v>
      </c>
      <c r="H217" s="38">
        <f t="shared" si="104"/>
        <v>849.63299999999992</v>
      </c>
      <c r="I217" s="38">
        <f t="shared" si="104"/>
        <v>928.005</v>
      </c>
      <c r="J217" s="38">
        <f t="shared" si="104"/>
        <v>915.23599999999999</v>
      </c>
      <c r="K217" s="38">
        <f t="shared" si="104"/>
        <v>958.20799999999997</v>
      </c>
      <c r="L217" s="38">
        <f t="shared" si="104"/>
        <v>883.45100000000002</v>
      </c>
      <c r="M217" s="38">
        <f t="shared" si="104"/>
        <v>767.43500000000006</v>
      </c>
      <c r="N217" s="83"/>
      <c r="O217" s="36">
        <f t="shared" si="92"/>
        <v>2271.0829999999996</v>
      </c>
      <c r="P217" s="36">
        <f t="shared" si="96"/>
        <v>2594.0526999999997</v>
      </c>
      <c r="Q217" s="36">
        <f t="shared" si="97"/>
        <v>2692.8739999999998</v>
      </c>
      <c r="R217" s="36">
        <f t="shared" si="93"/>
        <v>2609.0940000000001</v>
      </c>
      <c r="S217" s="83"/>
      <c r="T217" s="36">
        <f t="shared" si="98"/>
        <v>10066.243699999999</v>
      </c>
      <c r="U217" s="36">
        <f t="shared" si="94"/>
        <v>10167.1037</v>
      </c>
    </row>
    <row r="218" spans="1:21" x14ac:dyDescent="0.2">
      <c r="A218" s="76">
        <v>2000</v>
      </c>
      <c r="B218" s="38">
        <f t="shared" ref="B218:M218" si="105">B116+B150+B184</f>
        <v>712.96100000000001</v>
      </c>
      <c r="C218" s="38">
        <f t="shared" si="105"/>
        <v>754.99900000000014</v>
      </c>
      <c r="D218" s="38">
        <f t="shared" si="105"/>
        <v>879.98099999999988</v>
      </c>
      <c r="E218" s="38">
        <f t="shared" si="105"/>
        <v>776.35</v>
      </c>
      <c r="F218" s="38">
        <f t="shared" si="105"/>
        <v>855.38900000000001</v>
      </c>
      <c r="G218" s="38">
        <f t="shared" si="105"/>
        <v>881.36900000000003</v>
      </c>
      <c r="H218" s="38">
        <f t="shared" si="105"/>
        <v>812.56999999999994</v>
      </c>
      <c r="I218" s="38">
        <f t="shared" si="105"/>
        <v>953.76</v>
      </c>
      <c r="J218" s="38">
        <f t="shared" si="105"/>
        <v>874.68200000000002</v>
      </c>
      <c r="K218" s="38">
        <f t="shared" si="105"/>
        <v>980.77699999999982</v>
      </c>
      <c r="L218" s="38">
        <f t="shared" si="105"/>
        <v>871.21799999999996</v>
      </c>
      <c r="M218" s="38">
        <f t="shared" si="105"/>
        <v>736.61899999999991</v>
      </c>
      <c r="N218" s="83"/>
      <c r="O218" s="36">
        <f t="shared" si="92"/>
        <v>2347.9409999999998</v>
      </c>
      <c r="P218" s="36">
        <f t="shared" si="96"/>
        <v>2513.1080000000002</v>
      </c>
      <c r="Q218" s="36">
        <f t="shared" si="97"/>
        <v>2641.0119999999997</v>
      </c>
      <c r="R218" s="36">
        <f t="shared" si="93"/>
        <v>2588.6139999999996</v>
      </c>
      <c r="S218" s="83"/>
      <c r="T218" s="36">
        <f t="shared" si="98"/>
        <v>10111.154999999999</v>
      </c>
      <c r="U218" s="36">
        <f t="shared" si="94"/>
        <v>10090.674999999999</v>
      </c>
    </row>
    <row r="219" spans="1:21" x14ac:dyDescent="0.2">
      <c r="A219" s="82">
        <v>2001</v>
      </c>
      <c r="B219" s="38">
        <f t="shared" ref="B219:M219" si="106">B117+B151+B185</f>
        <v>791.56000000000006</v>
      </c>
      <c r="C219" s="38">
        <f t="shared" si="106"/>
        <v>725.8950000000001</v>
      </c>
      <c r="D219" s="38">
        <f t="shared" si="106"/>
        <v>881.88</v>
      </c>
      <c r="E219" s="38">
        <f t="shared" si="106"/>
        <v>799.79899999999998</v>
      </c>
      <c r="F219" s="38">
        <f t="shared" si="106"/>
        <v>850.59600000000012</v>
      </c>
      <c r="G219" s="38">
        <f t="shared" si="106"/>
        <v>873.8599999999999</v>
      </c>
      <c r="H219" s="38">
        <f t="shared" si="106"/>
        <v>849.06599999999992</v>
      </c>
      <c r="I219" s="38">
        <f t="shared" si="106"/>
        <v>932.31200000000001</v>
      </c>
      <c r="J219" s="38">
        <f t="shared" si="106"/>
        <v>846.58999999999992</v>
      </c>
      <c r="K219" s="38">
        <f t="shared" si="106"/>
        <v>936.37</v>
      </c>
      <c r="L219" s="38">
        <f t="shared" si="106"/>
        <v>869.05400000000009</v>
      </c>
      <c r="M219" s="38">
        <f t="shared" si="106"/>
        <v>718.10599999999999</v>
      </c>
      <c r="N219" s="83"/>
      <c r="O219" s="36">
        <f t="shared" si="92"/>
        <v>2399.335</v>
      </c>
      <c r="P219" s="36">
        <f t="shared" si="96"/>
        <v>2524.2550000000001</v>
      </c>
      <c r="Q219" s="36">
        <f t="shared" si="97"/>
        <v>2627.9679999999998</v>
      </c>
      <c r="R219" s="36">
        <f t="shared" si="93"/>
        <v>2523.5299999999997</v>
      </c>
      <c r="S219" s="83"/>
      <c r="T219" s="36">
        <f t="shared" si="98"/>
        <v>10140.171999999999</v>
      </c>
      <c r="U219" s="36">
        <f t="shared" si="94"/>
        <v>10075.088</v>
      </c>
    </row>
    <row r="220" spans="1:21" x14ac:dyDescent="0.2">
      <c r="A220" s="84">
        <v>2002</v>
      </c>
      <c r="B220" s="38">
        <f t="shared" ref="B220:M220" si="107">B118+B152+B186</f>
        <v>761.39599999999996</v>
      </c>
      <c r="C220" s="38">
        <f t="shared" si="107"/>
        <v>710.16699999999992</v>
      </c>
      <c r="D220" s="38">
        <f t="shared" si="107"/>
        <v>800.87999999999988</v>
      </c>
      <c r="E220" s="38">
        <f t="shared" si="107"/>
        <v>785.68600000000004</v>
      </c>
      <c r="F220" s="38">
        <f t="shared" si="107"/>
        <v>848.31100000000004</v>
      </c>
      <c r="G220" s="38">
        <f t="shared" si="107"/>
        <v>849.1629999999999</v>
      </c>
      <c r="H220" s="38">
        <f t="shared" si="107"/>
        <v>860.03599999999994</v>
      </c>
      <c r="I220" s="38">
        <f t="shared" si="107"/>
        <v>874.47500000000002</v>
      </c>
      <c r="J220" s="38">
        <f t="shared" si="107"/>
        <v>959.84299999999996</v>
      </c>
      <c r="K220" s="38">
        <f t="shared" si="107"/>
        <v>945.89750000000004</v>
      </c>
      <c r="L220" s="38">
        <f t="shared" si="107"/>
        <v>873.62350000000004</v>
      </c>
      <c r="M220" s="38">
        <f t="shared" si="107"/>
        <v>724.40199999999993</v>
      </c>
      <c r="N220" s="83"/>
      <c r="O220" s="36">
        <f t="shared" si="92"/>
        <v>2272.4429999999998</v>
      </c>
      <c r="P220" s="36">
        <f t="shared" si="96"/>
        <v>2483.16</v>
      </c>
      <c r="Q220" s="36">
        <f t="shared" si="97"/>
        <v>2694.3539999999998</v>
      </c>
      <c r="R220" s="36">
        <f t="shared" ref="R220:R231" si="108">SUM(K220:M220)</f>
        <v>2543.9230000000002</v>
      </c>
      <c r="S220" s="83"/>
      <c r="T220" s="36">
        <f>T118+T152+T186</f>
        <v>9973.487000000001</v>
      </c>
      <c r="U220" s="36">
        <f t="shared" ref="U220:U235" si="109">SUM(O220:R220)</f>
        <v>9993.8799999999992</v>
      </c>
    </row>
    <row r="221" spans="1:21" x14ac:dyDescent="0.2">
      <c r="A221" s="84">
        <v>2003</v>
      </c>
      <c r="B221" s="38">
        <f t="shared" ref="B221:M221" si="110">B119+B153+B187</f>
        <v>707.16099999999994</v>
      </c>
      <c r="C221" s="38">
        <f t="shared" si="110"/>
        <v>700.78200000000004</v>
      </c>
      <c r="D221" s="38">
        <f t="shared" si="110"/>
        <v>824.80100000000004</v>
      </c>
      <c r="E221" s="38">
        <f t="shared" si="110"/>
        <v>788.00400000000002</v>
      </c>
      <c r="F221" s="38">
        <f t="shared" si="110"/>
        <v>763.69399999999996</v>
      </c>
      <c r="G221" s="38">
        <f t="shared" si="110"/>
        <v>863.49700000000007</v>
      </c>
      <c r="H221" s="38">
        <f t="shared" si="110"/>
        <v>823.27</v>
      </c>
      <c r="I221" s="38">
        <f t="shared" si="110"/>
        <v>872.90500000000009</v>
      </c>
      <c r="J221" s="38">
        <f t="shared" si="110"/>
        <v>822.875</v>
      </c>
      <c r="K221" s="38">
        <f t="shared" si="110"/>
        <v>913.74699999999996</v>
      </c>
      <c r="L221" s="38">
        <f t="shared" si="110"/>
        <v>849.15599999999995</v>
      </c>
      <c r="M221" s="38">
        <f t="shared" si="110"/>
        <v>783.5379999999999</v>
      </c>
      <c r="N221" s="83"/>
      <c r="O221" s="36">
        <f t="shared" si="92"/>
        <v>2232.7440000000001</v>
      </c>
      <c r="P221" s="36">
        <f t="shared" si="96"/>
        <v>2415.1949999999997</v>
      </c>
      <c r="Q221" s="36">
        <f t="shared" si="97"/>
        <v>2519.0500000000002</v>
      </c>
      <c r="R221" s="36">
        <f t="shared" si="108"/>
        <v>2546.4409999999998</v>
      </c>
      <c r="S221" s="83"/>
      <c r="T221" s="36">
        <f t="shared" ref="T221:T238" si="111">R220+O221+P221+Q221</f>
        <v>9710.9120000000003</v>
      </c>
      <c r="U221" s="36">
        <f t="shared" si="109"/>
        <v>9713.43</v>
      </c>
    </row>
    <row r="222" spans="1:21" x14ac:dyDescent="0.2">
      <c r="A222" s="84">
        <v>2004</v>
      </c>
      <c r="B222" s="38">
        <f t="shared" ref="B222:M222" si="112">B120+B154+B188</f>
        <v>718.04</v>
      </c>
      <c r="C222" s="38">
        <f t="shared" si="112"/>
        <v>774.92700000000013</v>
      </c>
      <c r="D222" s="38">
        <f t="shared" si="112"/>
        <v>831.52</v>
      </c>
      <c r="E222" s="38">
        <f t="shared" si="112"/>
        <v>781.57299999999998</v>
      </c>
      <c r="F222" s="38">
        <f t="shared" si="112"/>
        <v>773.36199999999997</v>
      </c>
      <c r="G222" s="38">
        <f t="shared" si="112"/>
        <v>864.13499999999999</v>
      </c>
      <c r="H222" s="38">
        <f t="shared" si="112"/>
        <v>833.04700000000003</v>
      </c>
      <c r="I222" s="38">
        <f t="shared" si="112"/>
        <v>911.55700000000002</v>
      </c>
      <c r="J222" s="38">
        <f t="shared" si="112"/>
        <v>827.46100000000001</v>
      </c>
      <c r="K222" s="38">
        <f t="shared" si="112"/>
        <v>980.24800000000005</v>
      </c>
      <c r="L222" s="38">
        <f t="shared" si="112"/>
        <v>866.47199999999987</v>
      </c>
      <c r="M222" s="38">
        <f t="shared" si="112"/>
        <v>739.0060000000002</v>
      </c>
      <c r="N222" s="83"/>
      <c r="O222" s="36">
        <f t="shared" si="92"/>
        <v>2324.4870000000001</v>
      </c>
      <c r="P222" s="36">
        <f t="shared" si="96"/>
        <v>2419.0699999999997</v>
      </c>
      <c r="Q222" s="36">
        <f t="shared" si="97"/>
        <v>2572.0650000000001</v>
      </c>
      <c r="R222" s="36">
        <f t="shared" si="108"/>
        <v>2585.7260000000001</v>
      </c>
      <c r="S222" s="83"/>
      <c r="T222" s="36">
        <f t="shared" si="111"/>
        <v>9862.0630000000001</v>
      </c>
      <c r="U222" s="36">
        <f t="shared" si="109"/>
        <v>9901.348</v>
      </c>
    </row>
    <row r="223" spans="1:21" x14ac:dyDescent="0.2">
      <c r="A223" s="84">
        <v>2005</v>
      </c>
      <c r="B223" s="38">
        <f t="shared" ref="B223:M223" si="113">B121+B155+B189</f>
        <v>747.53199999999993</v>
      </c>
      <c r="C223" s="38">
        <f t="shared" si="113"/>
        <v>744.06100000000004</v>
      </c>
      <c r="D223" s="38">
        <f t="shared" si="113"/>
        <v>878.67099999999994</v>
      </c>
      <c r="E223" s="38">
        <f t="shared" si="113"/>
        <v>808.09500000000014</v>
      </c>
      <c r="F223" s="38">
        <f t="shared" si="113"/>
        <v>823.84899999999993</v>
      </c>
      <c r="G223" s="38">
        <f t="shared" si="113"/>
        <v>889.33500000000004</v>
      </c>
      <c r="H223" s="38">
        <f t="shared" si="113"/>
        <v>819.52800000000002</v>
      </c>
      <c r="I223" s="38">
        <f t="shared" si="113"/>
        <v>912.26599999999996</v>
      </c>
      <c r="J223" s="38">
        <f t="shared" si="113"/>
        <v>979.43499999999995</v>
      </c>
      <c r="K223" s="38">
        <f t="shared" si="113"/>
        <v>960.73599999999999</v>
      </c>
      <c r="L223" s="38">
        <f t="shared" si="113"/>
        <v>846.02599999999995</v>
      </c>
      <c r="M223" s="38">
        <f t="shared" si="113"/>
        <v>803.24400000000014</v>
      </c>
      <c r="N223" s="83"/>
      <c r="O223" s="36">
        <f t="shared" si="92"/>
        <v>2370.2639999999997</v>
      </c>
      <c r="P223" s="36">
        <f t="shared" si="96"/>
        <v>2521.279</v>
      </c>
      <c r="Q223" s="36">
        <f t="shared" si="97"/>
        <v>2711.2289999999998</v>
      </c>
      <c r="R223" s="36">
        <f t="shared" si="108"/>
        <v>2610.0060000000003</v>
      </c>
      <c r="S223" s="83"/>
      <c r="T223" s="36">
        <f t="shared" si="111"/>
        <v>10188.498</v>
      </c>
      <c r="U223" s="36">
        <f t="shared" si="109"/>
        <v>10212.777999999998</v>
      </c>
    </row>
    <row r="224" spans="1:21" x14ac:dyDescent="0.2">
      <c r="A224" s="84">
        <v>2006</v>
      </c>
      <c r="B224" s="38">
        <f t="shared" ref="B224:M224" si="114">B122+B156+B190</f>
        <v>850.0329999999999</v>
      </c>
      <c r="C224" s="38">
        <f t="shared" si="114"/>
        <v>709.0139999999999</v>
      </c>
      <c r="D224" s="38">
        <f t="shared" si="114"/>
        <v>914.47199999999998</v>
      </c>
      <c r="E224" s="38">
        <f t="shared" si="114"/>
        <v>768.25099999999998</v>
      </c>
      <c r="F224" s="38">
        <f t="shared" si="114"/>
        <v>835.24400000000003</v>
      </c>
      <c r="G224" s="38">
        <f t="shared" si="114"/>
        <v>918.77199999999993</v>
      </c>
      <c r="H224" s="38">
        <f t="shared" si="114"/>
        <v>864.53499999999985</v>
      </c>
      <c r="I224" s="38">
        <f t="shared" si="114"/>
        <v>983.56500000000005</v>
      </c>
      <c r="J224" s="38">
        <f t="shared" si="114"/>
        <v>886.20000000000016</v>
      </c>
      <c r="K224" s="38">
        <f t="shared" si="114"/>
        <v>903.43500000000006</v>
      </c>
      <c r="L224" s="38">
        <f t="shared" si="114"/>
        <v>818.27700000000004</v>
      </c>
      <c r="M224" s="38">
        <f t="shared" si="114"/>
        <v>710.10199999999998</v>
      </c>
      <c r="N224" s="83"/>
      <c r="O224" s="36">
        <f t="shared" si="92"/>
        <v>2473.5189999999998</v>
      </c>
      <c r="P224" s="36">
        <f t="shared" si="96"/>
        <v>2522.2669999999998</v>
      </c>
      <c r="Q224" s="36">
        <f t="shared" si="97"/>
        <v>2734.3</v>
      </c>
      <c r="R224" s="36">
        <f t="shared" si="108"/>
        <v>2431.8139999999999</v>
      </c>
      <c r="S224" s="83"/>
      <c r="T224" s="36">
        <f t="shared" si="111"/>
        <v>10340.092000000001</v>
      </c>
      <c r="U224" s="36">
        <f t="shared" si="109"/>
        <v>10161.9</v>
      </c>
    </row>
    <row r="225" spans="1:21" x14ac:dyDescent="0.2">
      <c r="A225" s="84">
        <v>2007</v>
      </c>
      <c r="B225" s="38">
        <f t="shared" ref="B225:M225" si="115">B123+B157+B191</f>
        <v>776.23699999999985</v>
      </c>
      <c r="C225" s="38">
        <f t="shared" si="115"/>
        <v>730.50800000000004</v>
      </c>
      <c r="D225" s="38">
        <f t="shared" si="115"/>
        <v>856.9</v>
      </c>
      <c r="E225" s="38">
        <f t="shared" si="115"/>
        <v>857.66799999999989</v>
      </c>
      <c r="F225" s="38">
        <f t="shared" si="115"/>
        <v>888.75500000000011</v>
      </c>
      <c r="G225" s="38">
        <f t="shared" si="115"/>
        <v>857.16800000000012</v>
      </c>
      <c r="H225" s="38">
        <f t="shared" si="115"/>
        <v>862.07799999999997</v>
      </c>
      <c r="I225" s="38">
        <f t="shared" si="115"/>
        <v>984.31600000000003</v>
      </c>
      <c r="J225" s="38">
        <f t="shared" si="115"/>
        <v>888.46399999999994</v>
      </c>
      <c r="K225" s="38">
        <f t="shared" si="115"/>
        <v>893.88599999999997</v>
      </c>
      <c r="L225" s="38">
        <f t="shared" si="115"/>
        <v>882.93600000000004</v>
      </c>
      <c r="M225" s="38">
        <f t="shared" si="115"/>
        <v>694.77300000000002</v>
      </c>
      <c r="N225" s="83"/>
      <c r="O225" s="36">
        <f t="shared" si="92"/>
        <v>2363.645</v>
      </c>
      <c r="P225" s="36">
        <f t="shared" si="96"/>
        <v>2603.5910000000003</v>
      </c>
      <c r="Q225" s="36">
        <f t="shared" si="97"/>
        <v>2734.8580000000002</v>
      </c>
      <c r="R225" s="36">
        <f t="shared" si="108"/>
        <v>2471.5950000000003</v>
      </c>
      <c r="S225" s="83"/>
      <c r="T225" s="36">
        <f t="shared" si="111"/>
        <v>10133.907999999999</v>
      </c>
      <c r="U225" s="36">
        <f t="shared" si="109"/>
        <v>10173.689000000002</v>
      </c>
    </row>
    <row r="226" spans="1:21" x14ac:dyDescent="0.2">
      <c r="A226" s="84">
        <v>2008</v>
      </c>
      <c r="B226" s="38">
        <f t="shared" ref="B226:M226" si="116">B124+B158+B192</f>
        <v>768.976</v>
      </c>
      <c r="C226" s="38">
        <f t="shared" si="116"/>
        <v>858.42299999999989</v>
      </c>
      <c r="D226" s="38">
        <f t="shared" si="116"/>
        <v>904.70399999999995</v>
      </c>
      <c r="E226" s="38">
        <f t="shared" si="116"/>
        <v>941.8</v>
      </c>
      <c r="F226" s="38">
        <f t="shared" si="116"/>
        <v>932.59099999999989</v>
      </c>
      <c r="G226" s="38">
        <f t="shared" si="116"/>
        <v>853.83299999999997</v>
      </c>
      <c r="H226" s="38">
        <f t="shared" si="116"/>
        <v>937.82299999999998</v>
      </c>
      <c r="I226" s="38">
        <f t="shared" si="116"/>
        <v>934.29700000000003</v>
      </c>
      <c r="J226" s="38">
        <f t="shared" si="116"/>
        <v>992.61799999999982</v>
      </c>
      <c r="K226" s="38">
        <f t="shared" si="116"/>
        <v>1110.777</v>
      </c>
      <c r="L226" s="38">
        <f t="shared" si="116"/>
        <v>880.60599999999988</v>
      </c>
      <c r="M226" s="38">
        <f t="shared" si="116"/>
        <v>783.70400000000006</v>
      </c>
      <c r="N226" s="83"/>
      <c r="O226" s="36">
        <f t="shared" si="92"/>
        <v>2532.1030000000001</v>
      </c>
      <c r="P226" s="36">
        <f t="shared" si="96"/>
        <v>2728.2239999999997</v>
      </c>
      <c r="Q226" s="36">
        <f t="shared" si="97"/>
        <v>2864.7379999999998</v>
      </c>
      <c r="R226" s="36">
        <f t="shared" si="108"/>
        <v>2775.087</v>
      </c>
      <c r="S226" s="83"/>
      <c r="T226" s="36">
        <f t="shared" si="111"/>
        <v>10596.66</v>
      </c>
      <c r="U226" s="36">
        <f t="shared" si="109"/>
        <v>10900.151999999998</v>
      </c>
    </row>
    <row r="227" spans="1:21" x14ac:dyDescent="0.2">
      <c r="A227" s="76">
        <v>2009</v>
      </c>
      <c r="B227" s="38">
        <f t="shared" ref="B227:M227" si="117">B125+B159+B193</f>
        <v>843.904</v>
      </c>
      <c r="C227" s="38">
        <f t="shared" si="117"/>
        <v>636.62099999999998</v>
      </c>
      <c r="D227" s="38">
        <f t="shared" si="117"/>
        <v>950.49300000000005</v>
      </c>
      <c r="E227" s="38">
        <f t="shared" si="117"/>
        <v>882.70299999999997</v>
      </c>
      <c r="F227" s="38">
        <f t="shared" si="117"/>
        <v>914.80900000000008</v>
      </c>
      <c r="G227" s="38">
        <f t="shared" si="117"/>
        <v>852.05499999999995</v>
      </c>
      <c r="H227" s="38">
        <f t="shared" si="117"/>
        <v>953.62600000000009</v>
      </c>
      <c r="I227" s="38">
        <f t="shared" si="117"/>
        <v>969.59100000000001</v>
      </c>
      <c r="J227" s="38">
        <f t="shared" si="117"/>
        <v>899.86999999999989</v>
      </c>
      <c r="K227" s="38">
        <f t="shared" si="117"/>
        <v>1013.6150000000001</v>
      </c>
      <c r="L227" s="38">
        <f t="shared" si="117"/>
        <v>922.70499999999981</v>
      </c>
      <c r="M227" s="38">
        <f t="shared" si="117"/>
        <v>817.51599999999996</v>
      </c>
      <c r="N227" s="83"/>
      <c r="O227" s="36">
        <f t="shared" si="92"/>
        <v>2431.018</v>
      </c>
      <c r="P227" s="36">
        <f t="shared" si="96"/>
        <v>2649.567</v>
      </c>
      <c r="Q227" s="36">
        <f t="shared" si="97"/>
        <v>2823.087</v>
      </c>
      <c r="R227" s="36">
        <f t="shared" si="108"/>
        <v>2753.8359999999998</v>
      </c>
      <c r="S227" s="83"/>
      <c r="T227" s="36">
        <f t="shared" si="111"/>
        <v>10678.759</v>
      </c>
      <c r="U227" s="36">
        <f t="shared" si="109"/>
        <v>10657.508</v>
      </c>
    </row>
    <row r="228" spans="1:21" x14ac:dyDescent="0.2">
      <c r="A228" s="76">
        <v>2010</v>
      </c>
      <c r="B228" s="38">
        <f t="shared" ref="B228:M228" si="118">B126+B160+B194</f>
        <v>800.39699999999993</v>
      </c>
      <c r="C228" s="38">
        <f t="shared" si="118"/>
        <v>771.65099999999995</v>
      </c>
      <c r="D228" s="38">
        <f t="shared" si="118"/>
        <v>993.44899999999996</v>
      </c>
      <c r="E228" s="38">
        <f t="shared" si="118"/>
        <v>905.32600000000002</v>
      </c>
      <c r="F228" s="38">
        <f t="shared" si="118"/>
        <v>901.71</v>
      </c>
      <c r="G228" s="38">
        <f t="shared" si="118"/>
        <v>951.52300000000002</v>
      </c>
      <c r="H228" s="38">
        <f t="shared" si="118"/>
        <v>967.471</v>
      </c>
      <c r="I228" s="38">
        <f t="shared" si="118"/>
        <v>1021.018</v>
      </c>
      <c r="J228" s="38">
        <f t="shared" si="118"/>
        <v>1085.9609999999998</v>
      </c>
      <c r="K228" s="38">
        <f t="shared" si="118"/>
        <v>977.94799999999998</v>
      </c>
      <c r="L228" s="38">
        <f t="shared" si="118"/>
        <v>1022.439</v>
      </c>
      <c r="M228" s="38">
        <f t="shared" si="118"/>
        <v>832.44099999999992</v>
      </c>
      <c r="N228" s="83"/>
      <c r="O228" s="36">
        <f t="shared" si="92"/>
        <v>2565.4969999999998</v>
      </c>
      <c r="P228" s="36">
        <f t="shared" si="96"/>
        <v>2758.5590000000002</v>
      </c>
      <c r="Q228" s="36">
        <f t="shared" si="97"/>
        <v>3074.45</v>
      </c>
      <c r="R228" s="36">
        <f t="shared" si="108"/>
        <v>2832.828</v>
      </c>
      <c r="S228" s="83"/>
      <c r="T228" s="36">
        <f t="shared" si="111"/>
        <v>11152.342000000001</v>
      </c>
      <c r="U228" s="36">
        <f t="shared" si="109"/>
        <v>11231.334000000001</v>
      </c>
    </row>
    <row r="229" spans="1:21" x14ac:dyDescent="0.2">
      <c r="A229" s="76">
        <v>2011</v>
      </c>
      <c r="B229" s="38">
        <f t="shared" ref="B229:M229" si="119">B127+B161+B195</f>
        <v>757.50500000000011</v>
      </c>
      <c r="C229" s="38">
        <f t="shared" si="119"/>
        <v>879.803</v>
      </c>
      <c r="D229" s="38">
        <f t="shared" si="119"/>
        <v>1011.595</v>
      </c>
      <c r="E229" s="38">
        <f t="shared" si="119"/>
        <v>906.6629999999999</v>
      </c>
      <c r="F229" s="38">
        <f t="shared" si="119"/>
        <v>972.88600000000008</v>
      </c>
      <c r="G229" s="38">
        <f t="shared" si="119"/>
        <v>929.78400000000011</v>
      </c>
      <c r="H229" s="38">
        <f t="shared" si="119"/>
        <v>1002.1600000000001</v>
      </c>
      <c r="I229" s="38">
        <f t="shared" si="119"/>
        <v>1027.422</v>
      </c>
      <c r="J229" s="38">
        <f t="shared" si="119"/>
        <v>1101.2180000000001</v>
      </c>
      <c r="K229" s="38">
        <f t="shared" si="119"/>
        <v>1115.481</v>
      </c>
      <c r="L229" s="38">
        <f t="shared" si="119"/>
        <v>812.34799999999984</v>
      </c>
      <c r="M229" s="38">
        <f t="shared" si="119"/>
        <v>853.15299999999991</v>
      </c>
      <c r="N229" s="83"/>
      <c r="O229" s="36">
        <f t="shared" si="92"/>
        <v>2648.9030000000002</v>
      </c>
      <c r="P229" s="36">
        <f t="shared" si="96"/>
        <v>2809.3330000000001</v>
      </c>
      <c r="Q229" s="36">
        <f t="shared" si="97"/>
        <v>3130.8</v>
      </c>
      <c r="R229" s="36">
        <f t="shared" si="108"/>
        <v>2780.9819999999995</v>
      </c>
      <c r="S229" s="83"/>
      <c r="T229" s="36">
        <f t="shared" si="111"/>
        <v>11421.864000000001</v>
      </c>
      <c r="U229" s="36">
        <f t="shared" si="109"/>
        <v>11370.018</v>
      </c>
    </row>
    <row r="230" spans="1:21" x14ac:dyDescent="0.2">
      <c r="A230" s="76">
        <v>2012</v>
      </c>
      <c r="B230" s="38">
        <f t="shared" ref="B230:M230" si="120">B128+B162+B196</f>
        <v>793.04500000000007</v>
      </c>
      <c r="C230" s="38">
        <f t="shared" si="120"/>
        <v>900.67700000000002</v>
      </c>
      <c r="D230" s="38">
        <f t="shared" si="120"/>
        <v>969.63100000000009</v>
      </c>
      <c r="E230" s="38">
        <f t="shared" si="120"/>
        <v>847.41099999999994</v>
      </c>
      <c r="F230" s="38">
        <f t="shared" si="120"/>
        <v>1024.913</v>
      </c>
      <c r="G230" s="38">
        <f t="shared" si="120"/>
        <v>1042.6199999999999</v>
      </c>
      <c r="H230" s="38">
        <f t="shared" si="120"/>
        <v>946.51199999999983</v>
      </c>
      <c r="I230" s="38">
        <f t="shared" si="120"/>
        <v>1010.229</v>
      </c>
      <c r="J230" s="38">
        <f t="shared" si="120"/>
        <v>997.42400000000009</v>
      </c>
      <c r="K230" s="38">
        <f t="shared" si="120"/>
        <v>1053.9350000000002</v>
      </c>
      <c r="L230" s="38">
        <f t="shared" si="120"/>
        <v>1047.4269999999999</v>
      </c>
      <c r="M230" s="38">
        <f t="shared" si="120"/>
        <v>771.30700000000002</v>
      </c>
      <c r="N230" s="83"/>
      <c r="O230" s="36">
        <f t="shared" si="92"/>
        <v>2663.3530000000001</v>
      </c>
      <c r="P230" s="36">
        <f t="shared" si="96"/>
        <v>2914.944</v>
      </c>
      <c r="Q230" s="36">
        <f t="shared" si="97"/>
        <v>2954.165</v>
      </c>
      <c r="R230" s="36">
        <f t="shared" si="108"/>
        <v>2872.6689999999999</v>
      </c>
      <c r="S230" s="83"/>
      <c r="T230" s="36">
        <f t="shared" si="111"/>
        <v>11313.444</v>
      </c>
      <c r="U230" s="36">
        <f t="shared" si="109"/>
        <v>11405.130999999999</v>
      </c>
    </row>
    <row r="231" spans="1:21" x14ac:dyDescent="0.2">
      <c r="A231" s="76">
        <v>2013</v>
      </c>
      <c r="B231" s="38">
        <f t="shared" ref="B231:M231" si="121">B129+B163+B197</f>
        <v>922.06500000000005</v>
      </c>
      <c r="C231" s="38">
        <f t="shared" si="121"/>
        <v>895.78099999999995</v>
      </c>
      <c r="D231" s="38">
        <f t="shared" si="121"/>
        <v>901.78599999999994</v>
      </c>
      <c r="E231" s="38">
        <f t="shared" si="121"/>
        <v>963.11700000000008</v>
      </c>
      <c r="F231" s="38">
        <f t="shared" si="121"/>
        <v>997.88499999999999</v>
      </c>
      <c r="G231" s="38">
        <f t="shared" si="121"/>
        <v>992.63199999999995</v>
      </c>
      <c r="H231" s="38">
        <f t="shared" si="121"/>
        <v>1023.6830000000001</v>
      </c>
      <c r="I231" s="38">
        <f t="shared" si="121"/>
        <v>993.2120000000001</v>
      </c>
      <c r="J231" s="38">
        <f t="shared" si="121"/>
        <v>1212.672</v>
      </c>
      <c r="K231" s="38">
        <f t="shared" si="121"/>
        <v>991.81099999999992</v>
      </c>
      <c r="L231" s="38">
        <f t="shared" si="121"/>
        <v>1317.1280000000002</v>
      </c>
      <c r="M231" s="38">
        <f t="shared" si="121"/>
        <v>919.94899999999996</v>
      </c>
      <c r="N231" s="83"/>
      <c r="O231" s="36">
        <f t="shared" si="92"/>
        <v>2719.6320000000001</v>
      </c>
      <c r="P231" s="36">
        <f t="shared" si="96"/>
        <v>2953.634</v>
      </c>
      <c r="Q231" s="36">
        <f t="shared" si="97"/>
        <v>3229.567</v>
      </c>
      <c r="R231" s="36">
        <f t="shared" si="108"/>
        <v>3228.8880000000004</v>
      </c>
      <c r="S231" s="83"/>
      <c r="T231" s="36">
        <f t="shared" si="111"/>
        <v>11775.502</v>
      </c>
      <c r="U231" s="36">
        <f t="shared" si="109"/>
        <v>12131.721</v>
      </c>
    </row>
    <row r="232" spans="1:21" x14ac:dyDescent="0.2">
      <c r="A232" s="76">
        <v>2014</v>
      </c>
      <c r="B232" s="38">
        <f t="shared" ref="B232:M232" si="122">B130+B164+B198</f>
        <v>877.40000000000009</v>
      </c>
      <c r="C232" s="38">
        <f t="shared" si="122"/>
        <v>899.89199999999983</v>
      </c>
      <c r="D232" s="38">
        <f t="shared" si="122"/>
        <v>964.77700000000004</v>
      </c>
      <c r="E232" s="38">
        <f t="shared" si="122"/>
        <v>1077.9789999999998</v>
      </c>
      <c r="F232" s="38">
        <f t="shared" si="122"/>
        <v>1025.981</v>
      </c>
      <c r="G232" s="38">
        <f t="shared" si="122"/>
        <v>948.63799999999992</v>
      </c>
      <c r="H232" s="38">
        <f t="shared" si="122"/>
        <v>1103.4059999999999</v>
      </c>
      <c r="I232" s="38">
        <f t="shared" si="122"/>
        <v>1013.2789999999999</v>
      </c>
      <c r="J232" s="38">
        <f t="shared" si="122"/>
        <v>1108.789</v>
      </c>
      <c r="K232" s="38">
        <f t="shared" si="122"/>
        <v>1059.748</v>
      </c>
      <c r="L232" s="38">
        <f t="shared" si="122"/>
        <v>939.27</v>
      </c>
      <c r="M232" s="38">
        <f t="shared" si="122"/>
        <v>848.10199999999998</v>
      </c>
      <c r="N232" s="83"/>
      <c r="O232" s="36">
        <f t="shared" si="92"/>
        <v>2742.069</v>
      </c>
      <c r="P232" s="36">
        <f t="shared" si="96"/>
        <v>3052.598</v>
      </c>
      <c r="Q232" s="36">
        <f>SUM(H232:J232)</f>
        <v>3225.4740000000002</v>
      </c>
      <c r="R232" s="36">
        <f t="shared" ref="R232:R237" si="123">SUM(K232:M232)</f>
        <v>2847.12</v>
      </c>
      <c r="S232" s="83"/>
      <c r="T232" s="36">
        <f t="shared" si="111"/>
        <v>12249.029</v>
      </c>
      <c r="U232" s="36">
        <f t="shared" si="109"/>
        <v>11867.260999999999</v>
      </c>
    </row>
    <row r="233" spans="1:21" x14ac:dyDescent="0.2">
      <c r="A233" s="76">
        <v>2015</v>
      </c>
      <c r="B233" s="38">
        <f t="shared" ref="B233:M233" si="124">B131+B165+B199</f>
        <v>973.16499999999996</v>
      </c>
      <c r="C233" s="38">
        <f t="shared" si="124"/>
        <v>818.21999999999991</v>
      </c>
      <c r="D233" s="38">
        <f t="shared" si="124"/>
        <v>1069.2349999999999</v>
      </c>
      <c r="E233" s="38">
        <f t="shared" si="124"/>
        <v>944.38699999999994</v>
      </c>
      <c r="F233" s="38">
        <f t="shared" si="124"/>
        <v>952.81699999999989</v>
      </c>
      <c r="G233" s="38">
        <f t="shared" si="124"/>
        <v>1173.0219999999999</v>
      </c>
      <c r="H233" s="38">
        <f t="shared" si="124"/>
        <v>1147.856</v>
      </c>
      <c r="I233" s="38">
        <f t="shared" si="124"/>
        <v>1047.809</v>
      </c>
      <c r="J233" s="38">
        <f t="shared" si="124"/>
        <v>1078.1190000000001</v>
      </c>
      <c r="K233" s="38">
        <f t="shared" si="124"/>
        <v>996.43899999999996</v>
      </c>
      <c r="L233" s="38">
        <f t="shared" si="124"/>
        <v>891.76499999999987</v>
      </c>
      <c r="M233" s="38">
        <f t="shared" si="124"/>
        <v>973.69299999999998</v>
      </c>
      <c r="N233" s="83"/>
      <c r="O233" s="36">
        <f t="shared" si="92"/>
        <v>2860.62</v>
      </c>
      <c r="P233" s="36">
        <f t="shared" si="96"/>
        <v>3070.2259999999997</v>
      </c>
      <c r="Q233" s="36">
        <f t="shared" si="97"/>
        <v>3273.7840000000001</v>
      </c>
      <c r="R233" s="36">
        <f t="shared" si="123"/>
        <v>2861.8969999999999</v>
      </c>
      <c r="S233" s="83"/>
      <c r="T233" s="36">
        <f t="shared" si="111"/>
        <v>12051.75</v>
      </c>
      <c r="U233" s="36">
        <f t="shared" si="109"/>
        <v>12066.526999999998</v>
      </c>
    </row>
    <row r="234" spans="1:21" x14ac:dyDescent="0.2">
      <c r="A234" s="76">
        <v>2016</v>
      </c>
      <c r="B234" s="38">
        <f t="shared" ref="B234:M234" si="125">B132+B166+B200</f>
        <v>936.96100000000001</v>
      </c>
      <c r="C234" s="38">
        <f t="shared" si="125"/>
        <v>936.15099999999995</v>
      </c>
      <c r="D234" s="38">
        <f t="shared" si="125"/>
        <v>1119.2559999999999</v>
      </c>
      <c r="E234" s="38">
        <f t="shared" si="125"/>
        <v>974.65600000000006</v>
      </c>
      <c r="F234" s="38">
        <f t="shared" si="125"/>
        <v>1005.2739999999999</v>
      </c>
      <c r="G234" s="38">
        <f t="shared" si="125"/>
        <v>966.50600000000009</v>
      </c>
      <c r="H234" s="38">
        <f t="shared" si="125"/>
        <v>1091.903</v>
      </c>
      <c r="I234" s="38">
        <f t="shared" si="125"/>
        <v>1078.8469999999998</v>
      </c>
      <c r="J234" s="38">
        <f t="shared" si="125"/>
        <v>1079.24</v>
      </c>
      <c r="K234" s="38">
        <f t="shared" si="125"/>
        <v>1042.5210000000002</v>
      </c>
      <c r="L234" s="38">
        <f t="shared" si="125"/>
        <v>1091.029</v>
      </c>
      <c r="M234" s="38">
        <f t="shared" si="125"/>
        <v>965.0100000000001</v>
      </c>
      <c r="N234" s="83"/>
      <c r="O234" s="36">
        <f t="shared" si="92"/>
        <v>2992.3679999999999</v>
      </c>
      <c r="P234" s="36">
        <f t="shared" si="96"/>
        <v>2946.4359999999997</v>
      </c>
      <c r="Q234" s="36">
        <f t="shared" si="97"/>
        <v>3249.99</v>
      </c>
      <c r="R234" s="36">
        <f t="shared" si="123"/>
        <v>3098.5600000000004</v>
      </c>
      <c r="S234" s="83"/>
      <c r="T234" s="36">
        <f t="shared" si="111"/>
        <v>12050.690999999999</v>
      </c>
      <c r="U234" s="36">
        <f t="shared" si="109"/>
        <v>12287.353999999999</v>
      </c>
    </row>
    <row r="235" spans="1:21" x14ac:dyDescent="0.2">
      <c r="A235" s="76">
        <v>2017</v>
      </c>
      <c r="B235" s="38">
        <f t="shared" ref="B235:M235" si="126">B133+B167+B201</f>
        <v>905.65800000000002</v>
      </c>
      <c r="C235" s="38">
        <f t="shared" si="126"/>
        <v>930.04300000000012</v>
      </c>
      <c r="D235" s="38">
        <f t="shared" si="126"/>
        <v>1033.8009999999999</v>
      </c>
      <c r="E235" s="38">
        <f t="shared" si="126"/>
        <v>1070.6139999999998</v>
      </c>
      <c r="F235" s="38">
        <f t="shared" si="126"/>
        <v>1066.1509999999998</v>
      </c>
      <c r="G235" s="38">
        <f t="shared" si="126"/>
        <v>992.98900000000015</v>
      </c>
      <c r="H235" s="38">
        <f t="shared" si="126"/>
        <v>1038.345</v>
      </c>
      <c r="I235" s="124">
        <f t="shared" si="126"/>
        <v>1147.663</v>
      </c>
      <c r="J235" s="125">
        <f t="shared" si="126"/>
        <v>974.51699999999994</v>
      </c>
      <c r="K235" s="38">
        <f t="shared" si="126"/>
        <v>1183.8039999999999</v>
      </c>
      <c r="L235" s="38">
        <f t="shared" si="126"/>
        <v>952.94500000000016</v>
      </c>
      <c r="M235" s="38">
        <f t="shared" si="126"/>
        <v>935.85400000000004</v>
      </c>
      <c r="N235" s="83"/>
      <c r="O235" s="36">
        <f t="shared" ref="O235:O242" si="127">SUM(B235:D235)</f>
        <v>2869.502</v>
      </c>
      <c r="P235" s="36">
        <f t="shared" ref="P235:P239" si="128">SUM(E235:G235)</f>
        <v>3129.7539999999995</v>
      </c>
      <c r="Q235" s="36">
        <f t="shared" ref="Q235:Q242" si="129">SUM(H235:J235)</f>
        <v>3160.5249999999996</v>
      </c>
      <c r="R235" s="36">
        <f t="shared" si="123"/>
        <v>3072.6030000000001</v>
      </c>
      <c r="S235" s="83"/>
      <c r="T235" s="36">
        <f t="shared" si="111"/>
        <v>12258.340999999999</v>
      </c>
      <c r="U235" s="36">
        <f t="shared" si="109"/>
        <v>12232.383999999998</v>
      </c>
    </row>
    <row r="236" spans="1:21" x14ac:dyDescent="0.2">
      <c r="A236" s="76">
        <v>2018</v>
      </c>
      <c r="B236" s="38">
        <f t="shared" ref="B236:M236" si="130">B134+B168+B202</f>
        <v>1036.633</v>
      </c>
      <c r="C236" s="38">
        <f t="shared" si="130"/>
        <v>786.20100000000014</v>
      </c>
      <c r="D236" s="38">
        <f t="shared" si="130"/>
        <v>1102.7439999999999</v>
      </c>
      <c r="E236" s="38">
        <f t="shared" si="130"/>
        <v>945.10600000000011</v>
      </c>
      <c r="F236" s="38">
        <f t="shared" si="130"/>
        <v>1041.873</v>
      </c>
      <c r="G236" s="38">
        <f t="shared" si="130"/>
        <v>977.29200000000003</v>
      </c>
      <c r="H236" s="38">
        <f t="shared" si="130"/>
        <v>1141.5719999999999</v>
      </c>
      <c r="I236" s="38">
        <f t="shared" si="130"/>
        <v>1060.2520000000002</v>
      </c>
      <c r="J236" s="38">
        <f t="shared" si="130"/>
        <v>1021.1550000000001</v>
      </c>
      <c r="K236" s="38">
        <f t="shared" si="130"/>
        <v>1168.6019999999999</v>
      </c>
      <c r="L236" s="38">
        <f t="shared" si="130"/>
        <v>1039.0759999999998</v>
      </c>
      <c r="M236" s="38">
        <f t="shared" si="130"/>
        <v>862.82199999999989</v>
      </c>
      <c r="N236" s="83"/>
      <c r="O236" s="36">
        <f t="shared" si="127"/>
        <v>2925.5780000000004</v>
      </c>
      <c r="P236" s="36">
        <f t="shared" si="128"/>
        <v>2964.2710000000002</v>
      </c>
      <c r="Q236" s="36">
        <f t="shared" si="129"/>
        <v>3222.9790000000003</v>
      </c>
      <c r="R236" s="36">
        <f t="shared" si="123"/>
        <v>3070.5</v>
      </c>
      <c r="S236" s="83"/>
      <c r="T236" s="36">
        <f t="shared" si="111"/>
        <v>12185.431</v>
      </c>
      <c r="U236" s="36">
        <f t="shared" ref="U236:U241" si="131">SUM(O236:R236)</f>
        <v>12183.328000000001</v>
      </c>
    </row>
    <row r="237" spans="1:21" x14ac:dyDescent="0.2">
      <c r="A237" s="76">
        <v>2019</v>
      </c>
      <c r="B237" s="38">
        <f t="shared" ref="B237:M237" si="132">B135+B169+B203</f>
        <v>970.03700000000003</v>
      </c>
      <c r="C237" s="38">
        <f t="shared" si="132"/>
        <v>918.86000000000013</v>
      </c>
      <c r="D237" s="38">
        <f t="shared" si="132"/>
        <v>1046.4580000000001</v>
      </c>
      <c r="E237" s="38">
        <f t="shared" si="132"/>
        <v>1068.7340000000002</v>
      </c>
      <c r="F237" s="38">
        <f t="shared" si="132"/>
        <v>947.822</v>
      </c>
      <c r="G237" s="38">
        <f t="shared" si="132"/>
        <v>1042.386</v>
      </c>
      <c r="H237" s="38">
        <f t="shared" si="132"/>
        <v>1046.4269999999999</v>
      </c>
      <c r="I237" s="38">
        <f t="shared" si="132"/>
        <v>1039.9290000000001</v>
      </c>
      <c r="J237" s="38">
        <f t="shared" si="132"/>
        <v>1080.018</v>
      </c>
      <c r="K237" s="38">
        <f t="shared" si="132"/>
        <v>1203.2739999999999</v>
      </c>
      <c r="L237" s="38">
        <f t="shared" si="132"/>
        <v>983.91</v>
      </c>
      <c r="M237" s="38">
        <f t="shared" si="132"/>
        <v>836.77700000000004</v>
      </c>
      <c r="N237" s="83"/>
      <c r="O237" s="36">
        <f t="shared" si="127"/>
        <v>2935.3550000000005</v>
      </c>
      <c r="P237" s="36">
        <f t="shared" si="128"/>
        <v>3058.942</v>
      </c>
      <c r="Q237" s="36">
        <f t="shared" si="129"/>
        <v>3166.3739999999998</v>
      </c>
      <c r="R237" s="36">
        <f t="shared" si="123"/>
        <v>3023.9609999999998</v>
      </c>
      <c r="S237" s="83"/>
      <c r="T237" s="36">
        <f t="shared" si="111"/>
        <v>12231.171</v>
      </c>
      <c r="U237" s="36">
        <f t="shared" si="131"/>
        <v>12184.632</v>
      </c>
    </row>
    <row r="238" spans="1:21" x14ac:dyDescent="0.2">
      <c r="A238" s="76">
        <v>2020</v>
      </c>
      <c r="B238" s="38">
        <f t="shared" ref="B238:M238" si="133">B136+B170+B204</f>
        <v>1020.4240000000001</v>
      </c>
      <c r="C238" s="38">
        <f t="shared" si="133"/>
        <v>929.51599999999996</v>
      </c>
      <c r="D238" s="38">
        <f t="shared" si="133"/>
        <v>1168.9630000000002</v>
      </c>
      <c r="E238" s="38">
        <f t="shared" si="133"/>
        <v>1076.8800000000001</v>
      </c>
      <c r="F238" s="38">
        <f t="shared" si="133"/>
        <v>917.70299999999997</v>
      </c>
      <c r="G238" s="38">
        <f t="shared" si="133"/>
        <v>969.48800000000006</v>
      </c>
      <c r="H238" s="38">
        <f t="shared" si="133"/>
        <v>1026.0809999999999</v>
      </c>
      <c r="I238" s="38">
        <f t="shared" si="133"/>
        <v>1057.713</v>
      </c>
      <c r="J238" s="38">
        <f t="shared" si="133"/>
        <v>1157.48</v>
      </c>
      <c r="K238" s="38">
        <f t="shared" si="133"/>
        <v>1103.5729999999999</v>
      </c>
      <c r="L238" s="38">
        <f t="shared" si="133"/>
        <v>1008.5020000000001</v>
      </c>
      <c r="M238" s="38">
        <f t="shared" si="133"/>
        <v>839.20699999999999</v>
      </c>
      <c r="N238" s="83"/>
      <c r="O238" s="36">
        <f t="shared" si="127"/>
        <v>3118.9030000000002</v>
      </c>
      <c r="P238" s="36">
        <f t="shared" si="128"/>
        <v>2964.0709999999999</v>
      </c>
      <c r="Q238" s="36">
        <f t="shared" si="129"/>
        <v>3241.2739999999999</v>
      </c>
      <c r="R238" s="36">
        <f>SUM(K238:M238)</f>
        <v>2951.2819999999997</v>
      </c>
      <c r="S238" s="83"/>
      <c r="T238" s="36">
        <f t="shared" si="111"/>
        <v>12348.208999999999</v>
      </c>
      <c r="U238" s="36">
        <f t="shared" si="131"/>
        <v>12275.529999999999</v>
      </c>
    </row>
    <row r="239" spans="1:21" x14ac:dyDescent="0.2">
      <c r="A239" s="76">
        <v>2021</v>
      </c>
      <c r="B239" s="38">
        <f t="shared" ref="B239:M239" si="134">B137+B171+B205</f>
        <v>968.24399999999991</v>
      </c>
      <c r="C239" s="38">
        <f t="shared" si="134"/>
        <v>941.68000000000006</v>
      </c>
      <c r="D239" s="38">
        <f t="shared" si="134"/>
        <v>1047.9899999999998</v>
      </c>
      <c r="E239" s="38">
        <f t="shared" si="134"/>
        <v>1072.653</v>
      </c>
      <c r="F239" s="38">
        <f t="shared" si="134"/>
        <v>1099.9159999999999</v>
      </c>
      <c r="G239" s="38">
        <f t="shared" si="134"/>
        <v>1011.9829999999999</v>
      </c>
      <c r="H239" s="38">
        <f t="shared" si="134"/>
        <v>1116.4839999999999</v>
      </c>
      <c r="I239" s="38">
        <f t="shared" si="134"/>
        <v>1067.9179999999999</v>
      </c>
      <c r="J239" s="38">
        <f t="shared" si="134"/>
        <v>999.3</v>
      </c>
      <c r="K239" s="38">
        <f t="shared" si="134"/>
        <v>1265.2530000000002</v>
      </c>
      <c r="L239" s="38">
        <f t="shared" si="134"/>
        <v>999.09500000000003</v>
      </c>
      <c r="M239" s="38">
        <f t="shared" si="134"/>
        <v>955.56099999999992</v>
      </c>
      <c r="N239" s="83"/>
      <c r="O239" s="36">
        <f t="shared" si="127"/>
        <v>2957.9139999999998</v>
      </c>
      <c r="P239" s="36">
        <f t="shared" si="128"/>
        <v>3184.5519999999997</v>
      </c>
      <c r="Q239" s="36">
        <f t="shared" si="129"/>
        <v>3183.7020000000002</v>
      </c>
      <c r="R239" s="36">
        <f>SUM(K239:M239)</f>
        <v>3219.9089999999997</v>
      </c>
      <c r="S239" s="83"/>
      <c r="T239" s="36">
        <f>R238+O239+P239+Q239</f>
        <v>12277.45</v>
      </c>
      <c r="U239" s="36">
        <f t="shared" si="131"/>
        <v>12546.076999999999</v>
      </c>
    </row>
    <row r="240" spans="1:21" x14ac:dyDescent="0.2">
      <c r="A240" s="76">
        <v>2022</v>
      </c>
      <c r="B240" s="38">
        <f t="shared" ref="B240:M240" si="135">B138+B172+B206</f>
        <v>937.90000000000009</v>
      </c>
      <c r="C240" s="38">
        <f t="shared" si="135"/>
        <v>993.07500000000005</v>
      </c>
      <c r="D240" s="38">
        <f t="shared" si="135"/>
        <v>1085.2940000000001</v>
      </c>
      <c r="E240" s="38">
        <f t="shared" si="135"/>
        <v>1069.0309999999999</v>
      </c>
      <c r="F240" s="38">
        <f t="shared" si="135"/>
        <v>1094.1109999999999</v>
      </c>
      <c r="G240" s="38">
        <f t="shared" si="135"/>
        <v>1017.7650000000001</v>
      </c>
      <c r="H240" s="38">
        <f t="shared" si="135"/>
        <v>1053.4940000000001</v>
      </c>
      <c r="I240" s="38">
        <f t="shared" si="135"/>
        <v>1123.5259999999998</v>
      </c>
      <c r="J240" s="38">
        <f t="shared" si="135"/>
        <v>983.45100000000014</v>
      </c>
      <c r="K240" s="38">
        <f t="shared" si="135"/>
        <v>1252.6870000000001</v>
      </c>
      <c r="L240" s="38">
        <f t="shared" si="135"/>
        <v>932.86400000000003</v>
      </c>
      <c r="M240" s="38">
        <f t="shared" si="135"/>
        <v>982.75400000000002</v>
      </c>
      <c r="N240" s="83"/>
      <c r="O240" s="36">
        <f t="shared" si="127"/>
        <v>3016.2690000000002</v>
      </c>
      <c r="P240" s="36">
        <f t="shared" ref="P240:P242" si="136">SUM(E240:G240)</f>
        <v>3180.9070000000002</v>
      </c>
      <c r="Q240" s="36">
        <f t="shared" si="129"/>
        <v>3160.471</v>
      </c>
      <c r="R240" s="36">
        <f>SUM(K240:M240)</f>
        <v>3168.3050000000003</v>
      </c>
      <c r="S240" s="83"/>
      <c r="T240" s="36">
        <f>R239+O240+P240+Q240</f>
        <v>12577.555999999999</v>
      </c>
      <c r="U240" s="36">
        <f t="shared" si="131"/>
        <v>12525.952000000001</v>
      </c>
    </row>
    <row r="241" spans="1:21" x14ac:dyDescent="0.2">
      <c r="A241" s="76">
        <v>2023</v>
      </c>
      <c r="B241" s="36">
        <f t="shared" ref="B241:M242" si="137">B139+B173+B207</f>
        <v>1040.1350000000002</v>
      </c>
      <c r="C241" s="38">
        <f t="shared" si="137"/>
        <v>996.91899999999987</v>
      </c>
      <c r="D241" s="38">
        <f t="shared" si="137"/>
        <v>1093.9590000000001</v>
      </c>
      <c r="E241" s="38">
        <f t="shared" si="137"/>
        <v>1047.0310000000002</v>
      </c>
      <c r="F241" s="38">
        <f t="shared" si="137"/>
        <v>1023.124</v>
      </c>
      <c r="G241" s="38">
        <f t="shared" si="137"/>
        <v>1036.5110000000002</v>
      </c>
      <c r="H241" s="38">
        <f t="shared" si="137"/>
        <v>996.05399999999997</v>
      </c>
      <c r="I241" s="38">
        <f t="shared" si="137"/>
        <v>1094.4669999999999</v>
      </c>
      <c r="J241" s="38">
        <f t="shared" si="137"/>
        <v>1092.4950000000001</v>
      </c>
      <c r="K241" s="38">
        <f t="shared" si="137"/>
        <v>1152.3410000000001</v>
      </c>
      <c r="L241" s="38">
        <f t="shared" si="137"/>
        <v>950.60900000000004</v>
      </c>
      <c r="M241" s="38">
        <f t="shared" si="137"/>
        <v>933.47699999999998</v>
      </c>
      <c r="N241" s="83"/>
      <c r="O241" s="36">
        <f t="shared" si="127"/>
        <v>3131.0129999999999</v>
      </c>
      <c r="P241" s="36">
        <f t="shared" si="136"/>
        <v>3106.6660000000002</v>
      </c>
      <c r="Q241" s="36">
        <f t="shared" si="129"/>
        <v>3183.0159999999996</v>
      </c>
      <c r="R241" s="36">
        <f>SUM(K241:M241)</f>
        <v>3036.4270000000001</v>
      </c>
      <c r="S241" s="83"/>
      <c r="T241" s="36">
        <f>R240+O241+P241+Q241</f>
        <v>12589</v>
      </c>
      <c r="U241" s="36">
        <f t="shared" si="131"/>
        <v>12457.121999999999</v>
      </c>
    </row>
    <row r="242" spans="1:21" x14ac:dyDescent="0.2">
      <c r="A242" s="76">
        <v>2024</v>
      </c>
      <c r="B242" s="36">
        <f>B140+B174+B208</f>
        <v>1043.2090000000001</v>
      </c>
      <c r="C242" s="38">
        <f t="shared" si="137"/>
        <v>954.39600000000007</v>
      </c>
      <c r="D242" s="38">
        <f t="shared" si="137"/>
        <v>1058.1119999999999</v>
      </c>
      <c r="E242" s="38">
        <f t="shared" si="137"/>
        <v>1104.3380000000002</v>
      </c>
      <c r="F242" s="38">
        <f t="shared" si="137"/>
        <v>1048.5840000000001</v>
      </c>
      <c r="G242" s="38">
        <f t="shared" si="137"/>
        <v>930.12600000000009</v>
      </c>
      <c r="H242" s="38">
        <f t="shared" si="137"/>
        <v>1065.5930000000001</v>
      </c>
      <c r="I242" s="38">
        <f t="shared" si="137"/>
        <v>1082.7940000000001</v>
      </c>
      <c r="J242" s="38">
        <f t="shared" si="137"/>
        <v>1182.078</v>
      </c>
      <c r="K242" s="38">
        <f t="shared" si="137"/>
        <v>991.78300000000002</v>
      </c>
      <c r="L242" s="38">
        <f t="shared" si="137"/>
        <v>1002.1080000000001</v>
      </c>
      <c r="M242" s="38" t="s">
        <v>152</v>
      </c>
      <c r="N242" s="83"/>
      <c r="O242" s="36">
        <f t="shared" si="127"/>
        <v>3055.7169999999996</v>
      </c>
      <c r="P242" s="36">
        <f t="shared" si="136"/>
        <v>3083.0480000000007</v>
      </c>
      <c r="Q242" s="36">
        <f t="shared" si="129"/>
        <v>3330.4650000000001</v>
      </c>
      <c r="R242" s="38" t="s">
        <v>152</v>
      </c>
      <c r="S242" s="83"/>
      <c r="T242" s="36">
        <f>R241+O242+P242+Q242</f>
        <v>12505.657000000001</v>
      </c>
      <c r="U242" s="38" t="s">
        <v>152</v>
      </c>
    </row>
    <row r="243" spans="1:21" x14ac:dyDescent="0.2">
      <c r="A243" s="86" t="s">
        <v>156</v>
      </c>
      <c r="B243" s="38"/>
      <c r="C243" s="38"/>
      <c r="D243" s="38"/>
      <c r="E243" s="38"/>
      <c r="F243" s="38"/>
      <c r="G243" s="38"/>
      <c r="H243" s="38"/>
      <c r="I243" s="38"/>
      <c r="J243" s="38"/>
      <c r="K243" s="38"/>
      <c r="L243" s="38"/>
      <c r="M243" s="38"/>
      <c r="N243" s="83"/>
      <c r="O243" s="36"/>
      <c r="P243" s="36"/>
      <c r="Q243" s="36"/>
      <c r="R243" s="36"/>
      <c r="S243" s="83"/>
      <c r="T243" s="36"/>
      <c r="U243" s="36"/>
    </row>
    <row r="244" spans="1:21" x14ac:dyDescent="0.2">
      <c r="A244" s="76">
        <v>1992</v>
      </c>
      <c r="B244" s="38">
        <v>26.446000000000002</v>
      </c>
      <c r="C244" s="38">
        <v>30.948</v>
      </c>
      <c r="D244" s="38">
        <v>47.631</v>
      </c>
      <c r="E244" s="38">
        <v>55.505000000000003</v>
      </c>
      <c r="F244" s="38">
        <v>49.486000000000004</v>
      </c>
      <c r="G244" s="38">
        <v>39.527000000000001</v>
      </c>
      <c r="H244" s="38">
        <v>65.822000000000003</v>
      </c>
      <c r="I244" s="38">
        <v>33.329000000000001</v>
      </c>
      <c r="J244" s="38">
        <v>54.792000000000002</v>
      </c>
      <c r="K244" s="38">
        <v>51.56</v>
      </c>
      <c r="L244" s="38">
        <v>26.151</v>
      </c>
      <c r="M244" s="38">
        <v>50.235999999999997</v>
      </c>
      <c r="N244" s="83"/>
      <c r="O244" s="36">
        <f t="shared" ref="O244:O252" si="138">SUM(B244:D244)</f>
        <v>105.02500000000001</v>
      </c>
      <c r="P244" s="36">
        <f t="shared" ref="P244:P251" si="139">SUM(E244:G244)</f>
        <v>144.51800000000003</v>
      </c>
      <c r="Q244" s="36">
        <f t="shared" ref="Q244:Q252" si="140">SUM(H244:J244)</f>
        <v>153.94300000000001</v>
      </c>
      <c r="R244" s="36">
        <f t="shared" ref="R244:R251" si="141">SUM(K244:M244)</f>
        <v>127.947</v>
      </c>
      <c r="S244" s="83"/>
      <c r="T244" s="36">
        <v>553.88</v>
      </c>
      <c r="U244" s="36">
        <f t="shared" ref="U244:U253" si="142">SUM(O244:R244)</f>
        <v>531.43299999999999</v>
      </c>
    </row>
    <row r="245" spans="1:21" x14ac:dyDescent="0.2">
      <c r="A245" s="76">
        <v>1993</v>
      </c>
      <c r="B245" s="38">
        <v>29.757999999999999</v>
      </c>
      <c r="C245" s="38">
        <v>34.036000000000001</v>
      </c>
      <c r="D245" s="38">
        <v>24.12</v>
      </c>
      <c r="E245" s="38">
        <v>27.721</v>
      </c>
      <c r="F245" s="38">
        <v>19.657</v>
      </c>
      <c r="G245" s="38">
        <v>33.681000000000004</v>
      </c>
      <c r="H245" s="38">
        <v>38.128999999999998</v>
      </c>
      <c r="I245" s="38">
        <v>22.283000000000001</v>
      </c>
      <c r="J245" s="38">
        <v>47.334000000000003</v>
      </c>
      <c r="K245" s="38">
        <v>25.216999999999999</v>
      </c>
      <c r="L245" s="38">
        <v>24.119</v>
      </c>
      <c r="M245" s="38">
        <v>31.833000000000002</v>
      </c>
      <c r="N245" s="83"/>
      <c r="O245" s="36">
        <f t="shared" si="138"/>
        <v>87.914000000000001</v>
      </c>
      <c r="P245" s="36">
        <f t="shared" si="139"/>
        <v>81.058999999999997</v>
      </c>
      <c r="Q245" s="36">
        <f t="shared" si="140"/>
        <v>107.74600000000001</v>
      </c>
      <c r="R245" s="36">
        <f t="shared" si="141"/>
        <v>81.168999999999997</v>
      </c>
      <c r="S245" s="83"/>
      <c r="T245" s="36">
        <f t="shared" ref="T245:T271" si="143">R244+O245+P245+Q245</f>
        <v>404.66599999999994</v>
      </c>
      <c r="U245" s="36">
        <f t="shared" si="142"/>
        <v>357.88800000000003</v>
      </c>
    </row>
    <row r="246" spans="1:21" x14ac:dyDescent="0.2">
      <c r="A246" s="76">
        <v>1994</v>
      </c>
      <c r="B246" s="38">
        <v>33.951999999999998</v>
      </c>
      <c r="C246" s="38">
        <v>37.164999999999999</v>
      </c>
      <c r="D246" s="38">
        <v>30.452000000000002</v>
      </c>
      <c r="E246" s="38">
        <v>40.006999999999998</v>
      </c>
      <c r="F246" s="38">
        <v>43.256</v>
      </c>
      <c r="G246" s="38">
        <v>39.847000000000001</v>
      </c>
      <c r="H246" s="38">
        <v>32.579000000000001</v>
      </c>
      <c r="I246" s="38">
        <v>71.007999999999996</v>
      </c>
      <c r="J246" s="38">
        <v>44.918000000000006</v>
      </c>
      <c r="K246" s="38">
        <v>31.289000000000001</v>
      </c>
      <c r="L246" s="38">
        <v>36.175999999999995</v>
      </c>
      <c r="M246" s="38">
        <v>38.454000000000001</v>
      </c>
      <c r="N246" s="83"/>
      <c r="O246" s="36">
        <f t="shared" si="138"/>
        <v>101.56899999999999</v>
      </c>
      <c r="P246" s="36">
        <f t="shared" si="139"/>
        <v>123.11000000000001</v>
      </c>
      <c r="Q246" s="36">
        <f t="shared" si="140"/>
        <v>148.505</v>
      </c>
      <c r="R246" s="36">
        <f t="shared" si="141"/>
        <v>105.91900000000001</v>
      </c>
      <c r="S246" s="83"/>
      <c r="T246" s="36">
        <f t="shared" si="143"/>
        <v>454.35300000000001</v>
      </c>
      <c r="U246" s="36">
        <f t="shared" si="142"/>
        <v>479.10299999999995</v>
      </c>
    </row>
    <row r="247" spans="1:21" x14ac:dyDescent="0.2">
      <c r="A247" s="86">
        <v>1995</v>
      </c>
      <c r="B247" s="38">
        <v>54.136000000000003</v>
      </c>
      <c r="C247" s="38">
        <v>22.607000000000003</v>
      </c>
      <c r="D247" s="38">
        <v>36.372</v>
      </c>
      <c r="E247" s="38">
        <v>61.662000000000006</v>
      </c>
      <c r="F247" s="38">
        <v>34.853999999999999</v>
      </c>
      <c r="G247" s="38">
        <v>40.115000000000002</v>
      </c>
      <c r="H247" s="38">
        <v>62.251000000000005</v>
      </c>
      <c r="I247" s="38">
        <v>50.291000000000004</v>
      </c>
      <c r="J247" s="38">
        <v>34.212000000000003</v>
      </c>
      <c r="K247" s="38">
        <v>35.734999999999999</v>
      </c>
      <c r="L247" s="38">
        <v>40.325000000000003</v>
      </c>
      <c r="M247" s="38">
        <v>45.923000000000002</v>
      </c>
      <c r="N247" s="83"/>
      <c r="O247" s="36">
        <f t="shared" si="138"/>
        <v>113.11500000000001</v>
      </c>
      <c r="P247" s="36">
        <f t="shared" si="139"/>
        <v>136.631</v>
      </c>
      <c r="Q247" s="36">
        <f t="shared" si="140"/>
        <v>146.75400000000002</v>
      </c>
      <c r="R247" s="36">
        <f t="shared" si="141"/>
        <v>121.983</v>
      </c>
      <c r="S247" s="83"/>
      <c r="T247" s="36">
        <f t="shared" si="143"/>
        <v>502.41900000000004</v>
      </c>
      <c r="U247" s="36">
        <f t="shared" si="142"/>
        <v>518.48299999999995</v>
      </c>
    </row>
    <row r="248" spans="1:21" x14ac:dyDescent="0.2">
      <c r="A248" s="86">
        <v>1996</v>
      </c>
      <c r="B248" s="38">
        <v>30.433999999999997</v>
      </c>
      <c r="C248" s="38">
        <v>19.847000000000001</v>
      </c>
      <c r="D248" s="38">
        <v>28.768000000000001</v>
      </c>
      <c r="E248" s="38">
        <v>26.607999999999997</v>
      </c>
      <c r="F248" s="38">
        <v>39.030999999999999</v>
      </c>
      <c r="G248" s="38">
        <v>23.038</v>
      </c>
      <c r="H248" s="38">
        <v>32.619999999999997</v>
      </c>
      <c r="I248" s="38">
        <v>24.635000000000002</v>
      </c>
      <c r="J248" s="38">
        <v>38.137999999999998</v>
      </c>
      <c r="K248" s="38">
        <v>27.561</v>
      </c>
      <c r="L248" s="38">
        <v>22.904</v>
      </c>
      <c r="M248" s="38">
        <v>17.718999999999998</v>
      </c>
      <c r="N248" s="83"/>
      <c r="O248" s="36">
        <f t="shared" si="138"/>
        <v>79.049000000000007</v>
      </c>
      <c r="P248" s="36">
        <f t="shared" si="139"/>
        <v>88.676999999999992</v>
      </c>
      <c r="Q248" s="36">
        <f t="shared" si="140"/>
        <v>95.393000000000001</v>
      </c>
      <c r="R248" s="36">
        <f t="shared" si="141"/>
        <v>68.183999999999997</v>
      </c>
      <c r="S248" s="83"/>
      <c r="T248" s="36">
        <f t="shared" si="143"/>
        <v>385.10199999999998</v>
      </c>
      <c r="U248" s="36">
        <f t="shared" si="142"/>
        <v>331.303</v>
      </c>
    </row>
    <row r="249" spans="1:21" x14ac:dyDescent="0.2">
      <c r="A249" s="86">
        <v>1997</v>
      </c>
      <c r="B249" s="38">
        <v>20.790999999999997</v>
      </c>
      <c r="C249" s="38">
        <v>19.343</v>
      </c>
      <c r="D249" s="38">
        <v>16.161999999999999</v>
      </c>
      <c r="E249" s="38">
        <v>13.532</v>
      </c>
      <c r="F249" s="38">
        <v>9.3979999999999997</v>
      </c>
      <c r="G249" s="38">
        <v>12.171999999999999</v>
      </c>
      <c r="H249" s="38">
        <v>17.478000000000002</v>
      </c>
      <c r="I249" s="38">
        <v>18.045000000000002</v>
      </c>
      <c r="J249" s="38">
        <v>15.62</v>
      </c>
      <c r="K249" s="38">
        <v>13.664999999999999</v>
      </c>
      <c r="L249" s="38">
        <v>22.83</v>
      </c>
      <c r="M249" s="38">
        <v>8.125</v>
      </c>
      <c r="N249" s="83"/>
      <c r="O249" s="36">
        <f t="shared" si="138"/>
        <v>56.295999999999999</v>
      </c>
      <c r="P249" s="36">
        <f t="shared" si="139"/>
        <v>35.101999999999997</v>
      </c>
      <c r="Q249" s="36">
        <f t="shared" si="140"/>
        <v>51.143000000000001</v>
      </c>
      <c r="R249" s="36">
        <f t="shared" si="141"/>
        <v>44.62</v>
      </c>
      <c r="S249" s="83"/>
      <c r="T249" s="36">
        <f t="shared" si="143"/>
        <v>210.72499999999999</v>
      </c>
      <c r="U249" s="36">
        <f t="shared" si="142"/>
        <v>187.161</v>
      </c>
    </row>
    <row r="250" spans="1:21" x14ac:dyDescent="0.2">
      <c r="A250" s="86">
        <v>1998</v>
      </c>
      <c r="B250" s="38">
        <v>18.143000000000001</v>
      </c>
      <c r="C250" s="38">
        <v>12.04</v>
      </c>
      <c r="D250" s="38">
        <v>14.718</v>
      </c>
      <c r="E250" s="38">
        <v>15.172000000000001</v>
      </c>
      <c r="F250" s="38">
        <v>11.356</v>
      </c>
      <c r="G250" s="38">
        <v>15.066000000000001</v>
      </c>
      <c r="H250" s="38">
        <v>18.38</v>
      </c>
      <c r="I250" s="38">
        <v>15.7</v>
      </c>
      <c r="J250" s="38">
        <v>13.914999999999999</v>
      </c>
      <c r="K250" s="38">
        <v>28.797999999999998</v>
      </c>
      <c r="L250" s="38">
        <v>25.641999999999999</v>
      </c>
      <c r="M250" s="38">
        <v>13.816000000000001</v>
      </c>
      <c r="N250" s="83"/>
      <c r="O250" s="36">
        <f t="shared" si="138"/>
        <v>44.900999999999996</v>
      </c>
      <c r="P250" s="36">
        <f t="shared" si="139"/>
        <v>41.594000000000001</v>
      </c>
      <c r="Q250" s="36">
        <f t="shared" si="140"/>
        <v>47.994999999999997</v>
      </c>
      <c r="R250" s="36">
        <f t="shared" si="141"/>
        <v>68.256</v>
      </c>
      <c r="S250" s="83"/>
      <c r="T250" s="36">
        <f t="shared" si="143"/>
        <v>179.10999999999999</v>
      </c>
      <c r="U250" s="36">
        <f t="shared" si="142"/>
        <v>202.74600000000001</v>
      </c>
    </row>
    <row r="251" spans="1:21" x14ac:dyDescent="0.2">
      <c r="A251" s="86">
        <v>1999</v>
      </c>
      <c r="B251" s="38">
        <v>19.638000000000002</v>
      </c>
      <c r="C251" s="38">
        <v>13.249000000000001</v>
      </c>
      <c r="D251" s="38">
        <v>21.774999999999999</v>
      </c>
      <c r="E251" s="38">
        <v>21.475999999999999</v>
      </c>
      <c r="F251" s="38">
        <v>19.213999999999999</v>
      </c>
      <c r="G251" s="38">
        <v>14.298999999999999</v>
      </c>
      <c r="H251" s="38">
        <v>15.34</v>
      </c>
      <c r="I251" s="38">
        <v>19.056000000000001</v>
      </c>
      <c r="J251" s="38">
        <v>16.856999999999999</v>
      </c>
      <c r="K251" s="38">
        <v>17.103999999999999</v>
      </c>
      <c r="L251" s="38">
        <v>12.208</v>
      </c>
      <c r="M251" s="38">
        <v>13.167</v>
      </c>
      <c r="N251" s="83"/>
      <c r="O251" s="36">
        <f t="shared" si="138"/>
        <v>54.661999999999999</v>
      </c>
      <c r="P251" s="36">
        <f t="shared" si="139"/>
        <v>54.988999999999997</v>
      </c>
      <c r="Q251" s="36">
        <f t="shared" si="140"/>
        <v>51.253</v>
      </c>
      <c r="R251" s="36">
        <f t="shared" si="141"/>
        <v>42.478999999999999</v>
      </c>
      <c r="S251" s="83"/>
      <c r="T251" s="36">
        <f t="shared" si="143"/>
        <v>229.16000000000003</v>
      </c>
      <c r="U251" s="36">
        <f t="shared" si="142"/>
        <v>203.38299999999998</v>
      </c>
    </row>
    <row r="252" spans="1:21" x14ac:dyDescent="0.2">
      <c r="A252" s="76">
        <v>2000</v>
      </c>
      <c r="B252" s="38">
        <v>8.6039999999999992</v>
      </c>
      <c r="C252" s="38">
        <v>9.1539999999999999</v>
      </c>
      <c r="D252" s="38">
        <v>11.026999999999999</v>
      </c>
      <c r="E252" s="38">
        <v>9.968</v>
      </c>
      <c r="F252" s="38">
        <v>10.434000000000001</v>
      </c>
      <c r="G252" s="38">
        <v>8.1659999999999986</v>
      </c>
      <c r="H252" s="38">
        <v>7.3849999999999998</v>
      </c>
      <c r="I252" s="38">
        <v>9.0299999999999994</v>
      </c>
      <c r="J252" s="38">
        <v>7.7890000000000006</v>
      </c>
      <c r="K252" s="38">
        <v>9.1999999999999993</v>
      </c>
      <c r="L252" s="38">
        <v>9.8009999999999984</v>
      </c>
      <c r="M252" s="38">
        <v>7.9720000000000004</v>
      </c>
      <c r="N252" s="83"/>
      <c r="O252" s="36">
        <f t="shared" si="138"/>
        <v>28.784999999999997</v>
      </c>
      <c r="P252" s="36">
        <f t="shared" ref="P252:P257" si="144">SUM(E252:G252)</f>
        <v>28.567999999999998</v>
      </c>
      <c r="Q252" s="36">
        <f t="shared" si="140"/>
        <v>24.204000000000001</v>
      </c>
      <c r="R252" s="36">
        <f t="shared" ref="R252:R272" si="145">SUM(K252:M252)</f>
        <v>26.972999999999999</v>
      </c>
      <c r="S252" s="83"/>
      <c r="T252" s="36">
        <f t="shared" si="143"/>
        <v>124.036</v>
      </c>
      <c r="U252" s="36">
        <f t="shared" si="142"/>
        <v>108.52999999999999</v>
      </c>
    </row>
    <row r="253" spans="1:21" x14ac:dyDescent="0.2">
      <c r="A253" s="82">
        <v>2001</v>
      </c>
      <c r="B253" s="38">
        <v>8.0540000000000003</v>
      </c>
      <c r="C253" s="38">
        <v>10.716999999999999</v>
      </c>
      <c r="D253" s="38">
        <v>8.9110000000000014</v>
      </c>
      <c r="E253" s="38">
        <v>10.366000000000001</v>
      </c>
      <c r="F253" s="38">
        <v>10.359</v>
      </c>
      <c r="G253" s="38">
        <v>15.863</v>
      </c>
      <c r="H253" s="38">
        <v>11.395</v>
      </c>
      <c r="I253" s="38">
        <v>22.112000000000002</v>
      </c>
      <c r="J253" s="38">
        <v>16.161000000000001</v>
      </c>
      <c r="K253" s="38">
        <v>17.524000000000001</v>
      </c>
      <c r="L253" s="38">
        <v>8.8620000000000001</v>
      </c>
      <c r="M253" s="38">
        <v>6.6639999999999997</v>
      </c>
      <c r="N253" s="83"/>
      <c r="O253" s="36">
        <f t="shared" ref="O253:O276" si="146">SUM(B253:D253)</f>
        <v>27.682000000000002</v>
      </c>
      <c r="P253" s="36">
        <f t="shared" si="144"/>
        <v>36.588000000000001</v>
      </c>
      <c r="Q253" s="36">
        <f t="shared" ref="Q253:Q276" si="147">SUM(H253:J253)</f>
        <v>49.668000000000006</v>
      </c>
      <c r="R253" s="36">
        <f t="shared" si="145"/>
        <v>33.050000000000004</v>
      </c>
      <c r="S253" s="83"/>
      <c r="T253" s="36">
        <f t="shared" si="143"/>
        <v>140.911</v>
      </c>
      <c r="U253" s="36">
        <f t="shared" si="142"/>
        <v>146.98800000000003</v>
      </c>
    </row>
    <row r="254" spans="1:21" x14ac:dyDescent="0.2">
      <c r="A254" s="84">
        <v>2002</v>
      </c>
      <c r="B254" s="38">
        <v>9.0570000000000004</v>
      </c>
      <c r="C254" s="38">
        <v>7.7929999999999993</v>
      </c>
      <c r="D254" s="38">
        <v>6.9990000000000006</v>
      </c>
      <c r="E254" s="38">
        <v>6.2169999999999996</v>
      </c>
      <c r="F254" s="38">
        <v>6.9050000000000002</v>
      </c>
      <c r="G254" s="38">
        <v>31.887999999999998</v>
      </c>
      <c r="H254" s="38">
        <v>13.496</v>
      </c>
      <c r="I254" s="38">
        <v>8.4369999999999994</v>
      </c>
      <c r="J254" s="38">
        <v>13.535</v>
      </c>
      <c r="K254" s="38">
        <v>8.5440000000000005</v>
      </c>
      <c r="L254" s="38">
        <v>10.478</v>
      </c>
      <c r="M254" s="38">
        <v>12.273000000000001</v>
      </c>
      <c r="N254" s="83"/>
      <c r="O254" s="36">
        <f t="shared" si="146"/>
        <v>23.849000000000004</v>
      </c>
      <c r="P254" s="36">
        <f t="shared" si="144"/>
        <v>45.01</v>
      </c>
      <c r="Q254" s="36">
        <f t="shared" si="147"/>
        <v>35.468000000000004</v>
      </c>
      <c r="R254" s="36">
        <f t="shared" si="145"/>
        <v>31.295000000000002</v>
      </c>
      <c r="S254" s="83"/>
      <c r="T254" s="36">
        <f t="shared" si="143"/>
        <v>137.37700000000001</v>
      </c>
      <c r="U254" s="36">
        <f t="shared" ref="U254:U272" si="148">SUM(O254:R254)</f>
        <v>135.62200000000001</v>
      </c>
    </row>
    <row r="255" spans="1:21" x14ac:dyDescent="0.2">
      <c r="A255" s="84">
        <v>2003</v>
      </c>
      <c r="B255" s="38">
        <v>14.208</v>
      </c>
      <c r="C255" s="38">
        <v>12.023</v>
      </c>
      <c r="D255" s="38">
        <v>8.9209999999999994</v>
      </c>
      <c r="E255" s="38">
        <v>5.2169999999999996</v>
      </c>
      <c r="F255" s="38">
        <v>6.02</v>
      </c>
      <c r="G255" s="38">
        <v>10.754</v>
      </c>
      <c r="H255" s="38">
        <v>9.6460000000000008</v>
      </c>
      <c r="I255" s="38">
        <v>17.326000000000001</v>
      </c>
      <c r="J255" s="38">
        <v>26.329000000000001</v>
      </c>
      <c r="K255" s="38">
        <v>10.898</v>
      </c>
      <c r="L255" s="38">
        <v>13.955</v>
      </c>
      <c r="M255" s="38">
        <v>13.083</v>
      </c>
      <c r="N255" s="83"/>
      <c r="O255" s="36">
        <f t="shared" si="146"/>
        <v>35.152000000000001</v>
      </c>
      <c r="P255" s="36">
        <f t="shared" si="144"/>
        <v>21.991</v>
      </c>
      <c r="Q255" s="36">
        <f t="shared" si="147"/>
        <v>53.301000000000002</v>
      </c>
      <c r="R255" s="36">
        <f t="shared" si="145"/>
        <v>37.936</v>
      </c>
      <c r="S255" s="83"/>
      <c r="T255" s="36">
        <f t="shared" si="143"/>
        <v>141.739</v>
      </c>
      <c r="U255" s="36">
        <f t="shared" si="148"/>
        <v>148.38</v>
      </c>
    </row>
    <row r="256" spans="1:21" x14ac:dyDescent="0.2">
      <c r="A256" s="84">
        <v>2004</v>
      </c>
      <c r="B256" s="38">
        <v>17.273</v>
      </c>
      <c r="C256" s="38">
        <v>33.701999999999998</v>
      </c>
      <c r="D256" s="38">
        <v>16.027000000000001</v>
      </c>
      <c r="E256" s="38">
        <v>19.841999999999999</v>
      </c>
      <c r="F256" s="38">
        <v>72.567999999999998</v>
      </c>
      <c r="G256" s="38">
        <v>17.612000000000002</v>
      </c>
      <c r="H256" s="38">
        <v>13.962000000000002</v>
      </c>
      <c r="I256" s="38">
        <v>26.311</v>
      </c>
      <c r="J256" s="38">
        <v>23.931999999999999</v>
      </c>
      <c r="K256" s="38">
        <v>12.790999999999999</v>
      </c>
      <c r="L256" s="38">
        <v>13.707999999999998</v>
      </c>
      <c r="M256" s="38">
        <v>12.507000000000001</v>
      </c>
      <c r="N256" s="83"/>
      <c r="O256" s="36">
        <f t="shared" si="146"/>
        <v>67.001999999999995</v>
      </c>
      <c r="P256" s="36">
        <f t="shared" si="144"/>
        <v>110.02199999999999</v>
      </c>
      <c r="Q256" s="36">
        <f t="shared" si="147"/>
        <v>64.204999999999998</v>
      </c>
      <c r="R256" s="36">
        <f t="shared" si="145"/>
        <v>39.006</v>
      </c>
      <c r="S256" s="83"/>
      <c r="T256" s="36">
        <f t="shared" si="143"/>
        <v>279.16499999999996</v>
      </c>
      <c r="U256" s="36">
        <f t="shared" si="148"/>
        <v>280.23500000000001</v>
      </c>
    </row>
    <row r="257" spans="1:21" x14ac:dyDescent="0.2">
      <c r="A257" s="84">
        <v>2005</v>
      </c>
      <c r="B257" s="38">
        <v>29.315999999999999</v>
      </c>
      <c r="C257" s="38">
        <v>25.065000000000001</v>
      </c>
      <c r="D257" s="38">
        <v>31.306999999999999</v>
      </c>
      <c r="E257" s="38">
        <v>17.664999999999999</v>
      </c>
      <c r="F257" s="38">
        <v>25.388000000000002</v>
      </c>
      <c r="G257" s="38">
        <v>24.263999999999999</v>
      </c>
      <c r="H257" s="38">
        <v>31.751999999999999</v>
      </c>
      <c r="I257" s="38">
        <v>22.411999999999999</v>
      </c>
      <c r="J257" s="38">
        <v>12.855</v>
      </c>
      <c r="K257" s="38">
        <v>6.375</v>
      </c>
      <c r="L257" s="38">
        <v>9.9719999999999995</v>
      </c>
      <c r="M257" s="38">
        <v>6.4</v>
      </c>
      <c r="N257" s="83"/>
      <c r="O257" s="36">
        <f t="shared" si="146"/>
        <v>85.688000000000002</v>
      </c>
      <c r="P257" s="36">
        <f t="shared" si="144"/>
        <v>67.316999999999993</v>
      </c>
      <c r="Q257" s="36">
        <f t="shared" si="147"/>
        <v>67.019000000000005</v>
      </c>
      <c r="R257" s="36">
        <f t="shared" si="145"/>
        <v>22.747</v>
      </c>
      <c r="S257" s="83"/>
      <c r="T257" s="36">
        <f t="shared" si="143"/>
        <v>259.02999999999997</v>
      </c>
      <c r="U257" s="36">
        <f t="shared" si="148"/>
        <v>242.77100000000002</v>
      </c>
    </row>
    <row r="258" spans="1:21" x14ac:dyDescent="0.2">
      <c r="A258" s="84">
        <v>2006</v>
      </c>
      <c r="B258" s="38">
        <v>9.3520000000000003</v>
      </c>
      <c r="C258" s="38">
        <v>13.191000000000001</v>
      </c>
      <c r="D258" s="38">
        <v>15.741</v>
      </c>
      <c r="E258" s="38">
        <v>14.999000000000001</v>
      </c>
      <c r="F258" s="38">
        <v>19.625</v>
      </c>
      <c r="G258" s="38">
        <v>16.443000000000001</v>
      </c>
      <c r="H258" s="38">
        <v>24.634</v>
      </c>
      <c r="I258" s="38">
        <v>28.097999999999999</v>
      </c>
      <c r="J258" s="38">
        <v>38.164000000000001</v>
      </c>
      <c r="K258" s="38">
        <v>34.392000000000003</v>
      </c>
      <c r="L258" s="38">
        <v>41.508000000000003</v>
      </c>
      <c r="M258" s="38">
        <v>42.344999999999999</v>
      </c>
      <c r="N258" s="83"/>
      <c r="O258" s="36">
        <f t="shared" si="146"/>
        <v>38.283999999999999</v>
      </c>
      <c r="P258" s="36">
        <f t="shared" ref="P258:P276" si="149">SUM(E258:G258)</f>
        <v>51.067000000000007</v>
      </c>
      <c r="Q258" s="36">
        <f t="shared" si="147"/>
        <v>90.896000000000001</v>
      </c>
      <c r="R258" s="36">
        <f t="shared" si="145"/>
        <v>118.245</v>
      </c>
      <c r="S258" s="83"/>
      <c r="T258" s="36">
        <f t="shared" si="143"/>
        <v>202.99400000000003</v>
      </c>
      <c r="U258" s="36">
        <f t="shared" si="148"/>
        <v>298.49200000000002</v>
      </c>
    </row>
    <row r="259" spans="1:21" x14ac:dyDescent="0.2">
      <c r="A259" s="84">
        <v>2007</v>
      </c>
      <c r="B259" s="38">
        <v>37.429000000000002</v>
      </c>
      <c r="C259" s="38">
        <v>34.296999999999997</v>
      </c>
      <c r="D259" s="38">
        <v>30.065999999999999</v>
      </c>
      <c r="E259" s="38">
        <v>31.960999999999999</v>
      </c>
      <c r="F259" s="38">
        <v>29.768999999999998</v>
      </c>
      <c r="G259" s="38">
        <v>34.241</v>
      </c>
      <c r="H259" s="38">
        <v>48.631999999999998</v>
      </c>
      <c r="I259" s="38">
        <v>32.857999999999997</v>
      </c>
      <c r="J259" s="38">
        <v>24.244</v>
      </c>
      <c r="K259" s="38">
        <v>32.817999999999998</v>
      </c>
      <c r="L259" s="38">
        <v>18.452999999999999</v>
      </c>
      <c r="M259" s="38">
        <v>13.589</v>
      </c>
      <c r="N259" s="83"/>
      <c r="O259" s="36">
        <f t="shared" si="146"/>
        <v>101.792</v>
      </c>
      <c r="P259" s="36">
        <f t="shared" si="149"/>
        <v>95.971000000000004</v>
      </c>
      <c r="Q259" s="36">
        <f t="shared" si="147"/>
        <v>105.73399999999999</v>
      </c>
      <c r="R259" s="36">
        <f t="shared" si="145"/>
        <v>64.86</v>
      </c>
      <c r="S259" s="83"/>
      <c r="T259" s="36">
        <f t="shared" si="143"/>
        <v>421.74200000000002</v>
      </c>
      <c r="U259" s="36">
        <f t="shared" si="148"/>
        <v>368.35700000000003</v>
      </c>
    </row>
    <row r="260" spans="1:21" x14ac:dyDescent="0.2">
      <c r="A260" s="84">
        <v>2008</v>
      </c>
      <c r="B260" s="38">
        <v>18.408000000000001</v>
      </c>
      <c r="C260" s="38">
        <v>13.769</v>
      </c>
      <c r="D260" s="38">
        <v>18.210999999999999</v>
      </c>
      <c r="E260" s="38">
        <v>16.050999999999998</v>
      </c>
      <c r="F260" s="38">
        <v>16.765000000000001</v>
      </c>
      <c r="G260" s="38">
        <v>17.068000000000001</v>
      </c>
      <c r="H260" s="38">
        <v>13.16</v>
      </c>
      <c r="I260" s="38">
        <v>14.005000000000001</v>
      </c>
      <c r="J260" s="38">
        <v>11.045</v>
      </c>
      <c r="K260" s="38">
        <v>11.166</v>
      </c>
      <c r="L260" s="38">
        <v>12.069000000000001</v>
      </c>
      <c r="M260" s="38">
        <v>6.6769999999999996</v>
      </c>
      <c r="N260" s="83"/>
      <c r="O260" s="36">
        <f t="shared" si="146"/>
        <v>50.387999999999998</v>
      </c>
      <c r="P260" s="36">
        <f t="shared" si="149"/>
        <v>49.884</v>
      </c>
      <c r="Q260" s="36">
        <f t="shared" si="147"/>
        <v>38.21</v>
      </c>
      <c r="R260" s="36">
        <f t="shared" si="145"/>
        <v>29.911999999999999</v>
      </c>
      <c r="S260" s="83"/>
      <c r="T260" s="36">
        <f t="shared" si="143"/>
        <v>203.34200000000001</v>
      </c>
      <c r="U260" s="36">
        <f t="shared" si="148"/>
        <v>168.39400000000001</v>
      </c>
    </row>
    <row r="261" spans="1:21" x14ac:dyDescent="0.2">
      <c r="A261" s="76">
        <v>2009</v>
      </c>
      <c r="B261" s="38">
        <v>13.369</v>
      </c>
      <c r="C261" s="38">
        <v>6.4779999999999998</v>
      </c>
      <c r="D261" s="38">
        <v>8.984</v>
      </c>
      <c r="E261" s="38">
        <v>11.818</v>
      </c>
      <c r="F261" s="38">
        <v>16.189</v>
      </c>
      <c r="G261" s="38">
        <v>13.07</v>
      </c>
      <c r="H261" s="38">
        <v>12.12</v>
      </c>
      <c r="I261" s="38">
        <v>12.722</v>
      </c>
      <c r="J261" s="38">
        <v>11.863</v>
      </c>
      <c r="K261" s="38">
        <v>16.975999999999999</v>
      </c>
      <c r="L261" s="38">
        <v>13.678000000000001</v>
      </c>
      <c r="M261" s="38">
        <v>12.826000000000001</v>
      </c>
      <c r="N261" s="83"/>
      <c r="O261" s="36">
        <f t="shared" si="146"/>
        <v>28.831000000000003</v>
      </c>
      <c r="P261" s="36">
        <f t="shared" si="149"/>
        <v>41.076999999999998</v>
      </c>
      <c r="Q261" s="36">
        <f t="shared" si="147"/>
        <v>36.704999999999998</v>
      </c>
      <c r="R261" s="36">
        <f t="shared" si="145"/>
        <v>43.480000000000004</v>
      </c>
      <c r="S261" s="83"/>
      <c r="T261" s="36">
        <f t="shared" si="143"/>
        <v>136.52499999999998</v>
      </c>
      <c r="U261" s="36">
        <f t="shared" si="148"/>
        <v>150.09300000000002</v>
      </c>
    </row>
    <row r="262" spans="1:21" x14ac:dyDescent="0.2">
      <c r="A262" s="76">
        <v>2010</v>
      </c>
      <c r="B262" s="38">
        <v>13.462</v>
      </c>
      <c r="C262" s="38">
        <v>16.786999999999999</v>
      </c>
      <c r="D262" s="38">
        <v>22.882999999999999</v>
      </c>
      <c r="E262" s="38">
        <v>20.384</v>
      </c>
      <c r="F262" s="38">
        <v>22.37</v>
      </c>
      <c r="G262" s="38">
        <v>18.097999999999999</v>
      </c>
      <c r="H262" s="38">
        <v>14.573</v>
      </c>
      <c r="I262" s="38">
        <v>18.649000000000001</v>
      </c>
      <c r="J262" s="38">
        <v>20.128</v>
      </c>
      <c r="K262" s="38">
        <v>25.288</v>
      </c>
      <c r="L262" s="38">
        <v>24.379000000000001</v>
      </c>
      <c r="M262" s="38">
        <v>11.895</v>
      </c>
      <c r="N262" s="83"/>
      <c r="O262" s="36">
        <f t="shared" si="146"/>
        <v>53.131999999999998</v>
      </c>
      <c r="P262" s="36">
        <f t="shared" si="149"/>
        <v>60.852000000000004</v>
      </c>
      <c r="Q262" s="36">
        <f t="shared" si="147"/>
        <v>53.35</v>
      </c>
      <c r="R262" s="36">
        <f t="shared" si="145"/>
        <v>61.561999999999998</v>
      </c>
      <c r="S262" s="83"/>
      <c r="T262" s="36">
        <f t="shared" si="143"/>
        <v>210.81399999999999</v>
      </c>
      <c r="U262" s="36">
        <f t="shared" si="148"/>
        <v>228.89600000000002</v>
      </c>
    </row>
    <row r="263" spans="1:21" x14ac:dyDescent="0.2">
      <c r="A263" s="76">
        <v>2011</v>
      </c>
      <c r="B263" s="38">
        <v>20.805</v>
      </c>
      <c r="C263" s="38">
        <v>23.274999999999999</v>
      </c>
      <c r="D263" s="38">
        <v>25.867999999999999</v>
      </c>
      <c r="E263" s="38">
        <v>16.375</v>
      </c>
      <c r="F263" s="38">
        <v>16.451000000000001</v>
      </c>
      <c r="G263" s="38">
        <v>18.393999999999998</v>
      </c>
      <c r="H263" s="38">
        <v>23.359000000000002</v>
      </c>
      <c r="I263" s="38">
        <v>23.826000000000001</v>
      </c>
      <c r="J263" s="38">
        <v>18.318999999999999</v>
      </c>
      <c r="K263" s="38">
        <v>25.577999999999999</v>
      </c>
      <c r="L263" s="38">
        <v>24.001999999999999</v>
      </c>
      <c r="M263" s="38">
        <v>19.361000000000001</v>
      </c>
      <c r="N263" s="83"/>
      <c r="O263" s="36">
        <f t="shared" si="146"/>
        <v>69.947999999999993</v>
      </c>
      <c r="P263" s="36">
        <f t="shared" si="149"/>
        <v>51.22</v>
      </c>
      <c r="Q263" s="36">
        <f t="shared" si="147"/>
        <v>65.504000000000005</v>
      </c>
      <c r="R263" s="36">
        <f t="shared" si="145"/>
        <v>68.941000000000003</v>
      </c>
      <c r="S263" s="83"/>
      <c r="T263" s="36">
        <f t="shared" si="143"/>
        <v>248.23399999999998</v>
      </c>
      <c r="U263" s="36">
        <f t="shared" si="148"/>
        <v>255.613</v>
      </c>
    </row>
    <row r="264" spans="1:21" x14ac:dyDescent="0.2">
      <c r="A264" s="76">
        <v>2012</v>
      </c>
      <c r="B264" s="38">
        <v>23.164000000000001</v>
      </c>
      <c r="C264" s="38">
        <v>20.617000000000001</v>
      </c>
      <c r="D264" s="38">
        <v>22.327000000000002</v>
      </c>
      <c r="E264" s="38">
        <v>21.873000000000001</v>
      </c>
      <c r="F264" s="38">
        <v>23.498000000000001</v>
      </c>
      <c r="G264" s="38">
        <v>18.448</v>
      </c>
      <c r="H264" s="38">
        <v>24.111000000000001</v>
      </c>
      <c r="I264" s="38">
        <v>21.654</v>
      </c>
      <c r="J264" s="38">
        <v>24.777999999999999</v>
      </c>
      <c r="K264" s="38">
        <v>24.413</v>
      </c>
      <c r="L264" s="38">
        <v>16.344000000000001</v>
      </c>
      <c r="M264" s="38">
        <v>14.667</v>
      </c>
      <c r="N264" s="83"/>
      <c r="O264" s="36">
        <f t="shared" si="146"/>
        <v>66.108000000000004</v>
      </c>
      <c r="P264" s="36">
        <f t="shared" si="149"/>
        <v>63.819000000000003</v>
      </c>
      <c r="Q264" s="36">
        <f t="shared" si="147"/>
        <v>70.543000000000006</v>
      </c>
      <c r="R264" s="36">
        <f t="shared" si="145"/>
        <v>55.424000000000007</v>
      </c>
      <c r="S264" s="83"/>
      <c r="T264" s="36">
        <f t="shared" si="143"/>
        <v>269.411</v>
      </c>
      <c r="U264" s="36">
        <f t="shared" si="148"/>
        <v>255.89400000000003</v>
      </c>
    </row>
    <row r="265" spans="1:21" x14ac:dyDescent="0.2">
      <c r="A265" s="76">
        <v>2013</v>
      </c>
      <c r="B265" s="38">
        <v>19.831</v>
      </c>
      <c r="C265" s="38">
        <v>15.853</v>
      </c>
      <c r="D265" s="38">
        <v>17.268999999999998</v>
      </c>
      <c r="E265" s="38">
        <v>16.954999999999998</v>
      </c>
      <c r="F265" s="38">
        <v>21.620999999999999</v>
      </c>
      <c r="G265" s="38">
        <v>15.507</v>
      </c>
      <c r="H265" s="38">
        <v>18.329000000000001</v>
      </c>
      <c r="I265" s="38">
        <v>77.3</v>
      </c>
      <c r="J265" s="38">
        <v>15.99</v>
      </c>
      <c r="K265" s="38">
        <v>20.03</v>
      </c>
      <c r="L265" s="38">
        <v>17.89</v>
      </c>
      <c r="M265" s="38">
        <v>18.513999999999999</v>
      </c>
      <c r="N265" s="83"/>
      <c r="O265" s="36">
        <f t="shared" si="146"/>
        <v>52.952999999999996</v>
      </c>
      <c r="P265" s="36">
        <f t="shared" si="149"/>
        <v>54.082999999999991</v>
      </c>
      <c r="Q265" s="36">
        <f t="shared" si="147"/>
        <v>111.61899999999999</v>
      </c>
      <c r="R265" s="36">
        <f t="shared" si="145"/>
        <v>56.433999999999997</v>
      </c>
      <c r="S265" s="83"/>
      <c r="T265" s="36">
        <f t="shared" si="143"/>
        <v>274.07900000000001</v>
      </c>
      <c r="U265" s="36">
        <f t="shared" si="148"/>
        <v>275.08899999999994</v>
      </c>
    </row>
    <row r="266" spans="1:21" x14ac:dyDescent="0.2">
      <c r="A266" s="76">
        <v>2014</v>
      </c>
      <c r="B266" s="38">
        <v>95.262</v>
      </c>
      <c r="C266" s="38">
        <v>28.015000000000001</v>
      </c>
      <c r="D266" s="38">
        <v>26.931999999999999</v>
      </c>
      <c r="E266" s="38">
        <v>26.305</v>
      </c>
      <c r="F266" s="38">
        <v>19.72</v>
      </c>
      <c r="G266" s="38">
        <v>18.8</v>
      </c>
      <c r="H266" s="38">
        <v>12.663</v>
      </c>
      <c r="I266" s="38">
        <v>11.099</v>
      </c>
      <c r="J266" s="38">
        <v>11.565</v>
      </c>
      <c r="K266" s="38">
        <v>13.289</v>
      </c>
      <c r="L266" s="38">
        <v>9.609</v>
      </c>
      <c r="M266" s="38">
        <v>12.99</v>
      </c>
      <c r="N266" s="83"/>
      <c r="O266" s="36">
        <f t="shared" si="146"/>
        <v>150.209</v>
      </c>
      <c r="P266" s="36">
        <f t="shared" si="149"/>
        <v>64.825000000000003</v>
      </c>
      <c r="Q266" s="36">
        <f t="shared" si="147"/>
        <v>35.326999999999998</v>
      </c>
      <c r="R266" s="36">
        <f t="shared" si="145"/>
        <v>35.887999999999998</v>
      </c>
      <c r="S266" s="83"/>
      <c r="T266" s="36">
        <f t="shared" si="143"/>
        <v>306.79500000000002</v>
      </c>
      <c r="U266" s="36">
        <f t="shared" si="148"/>
        <v>286.24899999999997</v>
      </c>
    </row>
    <row r="267" spans="1:21" x14ac:dyDescent="0.2">
      <c r="A267" s="76">
        <v>2015</v>
      </c>
      <c r="B267" s="38">
        <v>17.88</v>
      </c>
      <c r="C267" s="38">
        <v>10.941000000000001</v>
      </c>
      <c r="D267" s="38">
        <v>18.780999999999999</v>
      </c>
      <c r="E267" s="38">
        <v>15.308999999999999</v>
      </c>
      <c r="F267" s="38">
        <v>12.446</v>
      </c>
      <c r="G267" s="38">
        <v>14.414</v>
      </c>
      <c r="H267" s="38">
        <v>11.103</v>
      </c>
      <c r="I267" s="38">
        <v>22.783999999999999</v>
      </c>
      <c r="J267" s="38">
        <v>25.33</v>
      </c>
      <c r="K267" s="38">
        <v>10.103</v>
      </c>
      <c r="L267" s="38">
        <v>7.867</v>
      </c>
      <c r="M267" s="38">
        <v>5.5529999999999999</v>
      </c>
      <c r="N267" s="83"/>
      <c r="O267" s="36">
        <f t="shared" si="146"/>
        <v>47.601999999999997</v>
      </c>
      <c r="P267" s="36">
        <f t="shared" si="149"/>
        <v>42.168999999999997</v>
      </c>
      <c r="Q267" s="36">
        <f t="shared" si="147"/>
        <v>59.216999999999999</v>
      </c>
      <c r="R267" s="36">
        <f t="shared" si="145"/>
        <v>23.523</v>
      </c>
      <c r="S267" s="83"/>
      <c r="T267" s="36">
        <f t="shared" si="143"/>
        <v>184.87599999999998</v>
      </c>
      <c r="U267" s="36">
        <f t="shared" si="148"/>
        <v>172.511</v>
      </c>
    </row>
    <row r="268" spans="1:21" x14ac:dyDescent="0.2">
      <c r="A268" s="76">
        <v>2016</v>
      </c>
      <c r="B268" s="38">
        <v>8.34</v>
      </c>
      <c r="C268" s="38">
        <v>6.9889999999999999</v>
      </c>
      <c r="D268" s="38">
        <v>4.0910000000000002</v>
      </c>
      <c r="E268" s="38">
        <v>7.76</v>
      </c>
      <c r="F268" s="38">
        <v>10.632999999999999</v>
      </c>
      <c r="G268" s="38">
        <v>1.7410000000000001</v>
      </c>
      <c r="H268" s="38">
        <v>1.881</v>
      </c>
      <c r="I268" s="124">
        <v>2.9580000000000002</v>
      </c>
      <c r="J268" s="125">
        <v>5.6470000000000002</v>
      </c>
      <c r="K268" s="38">
        <v>5.7110000000000003</v>
      </c>
      <c r="L268" s="38">
        <v>4.4630000000000001</v>
      </c>
      <c r="M268" s="38">
        <v>2.8959999999999999</v>
      </c>
      <c r="N268" s="83"/>
      <c r="O268" s="36">
        <f t="shared" si="146"/>
        <v>19.420000000000002</v>
      </c>
      <c r="P268" s="36">
        <f t="shared" si="149"/>
        <v>20.134</v>
      </c>
      <c r="Q268" s="36">
        <f t="shared" si="147"/>
        <v>10.486000000000001</v>
      </c>
      <c r="R268" s="36">
        <f t="shared" si="145"/>
        <v>13.07</v>
      </c>
      <c r="S268" s="83"/>
      <c r="T268" s="36">
        <f t="shared" si="143"/>
        <v>73.563000000000002</v>
      </c>
      <c r="U268" s="36">
        <f t="shared" si="148"/>
        <v>63.110000000000007</v>
      </c>
    </row>
    <row r="269" spans="1:21" x14ac:dyDescent="0.2">
      <c r="A269" s="76">
        <v>2017</v>
      </c>
      <c r="B269" s="38">
        <v>4.452</v>
      </c>
      <c r="C269" s="38">
        <v>8.0749999999999993</v>
      </c>
      <c r="D269" s="38">
        <v>5.6319999999999997</v>
      </c>
      <c r="E269" s="38">
        <v>3.9649999999999999</v>
      </c>
      <c r="F269" s="38">
        <v>3.8039999999999998</v>
      </c>
      <c r="G269" s="38">
        <v>6.31</v>
      </c>
      <c r="H269" s="38">
        <v>39.119999999999997</v>
      </c>
      <c r="I269" s="38">
        <v>3.7890000000000001</v>
      </c>
      <c r="J269" s="38">
        <v>6.5039999999999996</v>
      </c>
      <c r="K269" s="38">
        <v>37.32</v>
      </c>
      <c r="L269" s="38">
        <v>4.7729999999999997</v>
      </c>
      <c r="M269" s="38">
        <v>27.152999999999999</v>
      </c>
      <c r="N269" s="83"/>
      <c r="O269" s="36">
        <f t="shared" si="146"/>
        <v>18.158999999999999</v>
      </c>
      <c r="P269" s="36">
        <f t="shared" si="149"/>
        <v>14.079000000000001</v>
      </c>
      <c r="Q269" s="36">
        <f t="shared" si="147"/>
        <v>49.412999999999997</v>
      </c>
      <c r="R269" s="36">
        <f t="shared" si="145"/>
        <v>69.246000000000009</v>
      </c>
      <c r="S269" s="83"/>
      <c r="T269" s="36">
        <f t="shared" si="143"/>
        <v>94.721000000000004</v>
      </c>
      <c r="U269" s="36">
        <f t="shared" si="148"/>
        <v>150.89699999999999</v>
      </c>
    </row>
    <row r="270" spans="1:21" x14ac:dyDescent="0.2">
      <c r="A270" s="76">
        <v>2018</v>
      </c>
      <c r="B270" s="38">
        <v>28.821999999999999</v>
      </c>
      <c r="C270" s="38">
        <v>11.952999999999999</v>
      </c>
      <c r="D270" s="38">
        <v>20.427</v>
      </c>
      <c r="E270" s="38">
        <v>10.831</v>
      </c>
      <c r="F270" s="38">
        <v>7.0410000000000004</v>
      </c>
      <c r="G270" s="38">
        <v>4.8319999999999999</v>
      </c>
      <c r="H270" s="38">
        <v>7.07</v>
      </c>
      <c r="I270" s="38">
        <v>4.9850000000000003</v>
      </c>
      <c r="J270" s="38">
        <v>4.734</v>
      </c>
      <c r="K270" s="38">
        <v>3.536</v>
      </c>
      <c r="L270" s="38">
        <v>4.944</v>
      </c>
      <c r="M270" s="38">
        <v>2.528</v>
      </c>
      <c r="N270" s="83"/>
      <c r="O270" s="36">
        <f t="shared" si="146"/>
        <v>61.201999999999998</v>
      </c>
      <c r="P270" s="36">
        <f t="shared" si="149"/>
        <v>22.704000000000001</v>
      </c>
      <c r="Q270" s="36">
        <f t="shared" si="147"/>
        <v>16.789000000000001</v>
      </c>
      <c r="R270" s="36">
        <f t="shared" si="145"/>
        <v>11.008000000000001</v>
      </c>
      <c r="S270" s="83"/>
      <c r="T270" s="36">
        <f t="shared" si="143"/>
        <v>169.94100000000003</v>
      </c>
      <c r="U270" s="36">
        <f t="shared" si="148"/>
        <v>111.703</v>
      </c>
    </row>
    <row r="271" spans="1:21" x14ac:dyDescent="0.2">
      <c r="A271" s="76">
        <v>2019</v>
      </c>
      <c r="B271" s="38">
        <v>2.278</v>
      </c>
      <c r="C271" s="38">
        <v>2.4750000000000001</v>
      </c>
      <c r="D271" s="38">
        <v>7.819</v>
      </c>
      <c r="E271" s="38">
        <v>1.44</v>
      </c>
      <c r="F271" s="38">
        <v>1.8460000000000001</v>
      </c>
      <c r="G271" s="38">
        <v>2.1059999999999999</v>
      </c>
      <c r="H271" s="38">
        <v>1.6279999999999999</v>
      </c>
      <c r="I271" s="38">
        <v>1.893</v>
      </c>
      <c r="J271" s="38">
        <v>2.1120000000000001</v>
      </c>
      <c r="K271" s="38">
        <v>1.9119999999999999</v>
      </c>
      <c r="L271" s="38">
        <v>1.833</v>
      </c>
      <c r="M271" s="38">
        <v>2.1030000000000002</v>
      </c>
      <c r="N271" s="83"/>
      <c r="O271" s="36">
        <f t="shared" si="146"/>
        <v>12.571999999999999</v>
      </c>
      <c r="P271" s="36">
        <f t="shared" si="149"/>
        <v>5.3919999999999995</v>
      </c>
      <c r="Q271" s="36">
        <f t="shared" si="147"/>
        <v>5.633</v>
      </c>
      <c r="R271" s="36">
        <f t="shared" si="145"/>
        <v>5.8480000000000008</v>
      </c>
      <c r="S271" s="83"/>
      <c r="T271" s="36">
        <f t="shared" si="143"/>
        <v>34.604999999999997</v>
      </c>
      <c r="U271" s="36">
        <f t="shared" si="148"/>
        <v>29.445</v>
      </c>
    </row>
    <row r="272" spans="1:21" x14ac:dyDescent="0.2">
      <c r="A272" s="76">
        <v>2020</v>
      </c>
      <c r="B272" s="38">
        <v>1.6439999999999999</v>
      </c>
      <c r="C272" s="38">
        <v>1.748</v>
      </c>
      <c r="D272" s="38">
        <v>2.09</v>
      </c>
      <c r="E272" s="38">
        <v>1.43</v>
      </c>
      <c r="F272" s="38">
        <v>2.48</v>
      </c>
      <c r="G272" s="38">
        <v>12.430999999999999</v>
      </c>
      <c r="H272" s="38">
        <v>3.6850000000000001</v>
      </c>
      <c r="I272" s="38">
        <v>10.885</v>
      </c>
      <c r="J272" s="38">
        <v>18.774999999999999</v>
      </c>
      <c r="K272" s="38">
        <v>10.653</v>
      </c>
      <c r="L272" s="38">
        <v>3.0249999999999999</v>
      </c>
      <c r="M272" s="38">
        <v>2.528</v>
      </c>
      <c r="N272" s="83"/>
      <c r="O272" s="36">
        <f t="shared" si="146"/>
        <v>5.4819999999999993</v>
      </c>
      <c r="P272" s="36">
        <f t="shared" si="149"/>
        <v>16.341000000000001</v>
      </c>
      <c r="Q272" s="36">
        <f t="shared" si="147"/>
        <v>33.344999999999999</v>
      </c>
      <c r="R272" s="36">
        <f t="shared" si="145"/>
        <v>16.206</v>
      </c>
      <c r="S272" s="36"/>
      <c r="T272" s="36">
        <f>R271+O272+P272+Q272</f>
        <v>61.015999999999998</v>
      </c>
      <c r="U272" s="36">
        <f t="shared" si="148"/>
        <v>71.373999999999995</v>
      </c>
    </row>
    <row r="273" spans="1:21" x14ac:dyDescent="0.2">
      <c r="A273" s="76">
        <v>2021</v>
      </c>
      <c r="B273" s="38">
        <v>2.0449999999999999</v>
      </c>
      <c r="C273" s="38">
        <v>1.6359999999999999</v>
      </c>
      <c r="D273" s="38">
        <v>3.6749999999999998</v>
      </c>
      <c r="E273" s="38">
        <v>3.3530000000000002</v>
      </c>
      <c r="F273" s="38">
        <v>6.3860000000000001</v>
      </c>
      <c r="G273" s="38">
        <v>5.6820000000000004</v>
      </c>
      <c r="H273" s="38">
        <v>5.4429999999999996</v>
      </c>
      <c r="I273" s="38">
        <v>3.55</v>
      </c>
      <c r="J273" s="38">
        <v>1.5209999999999999</v>
      </c>
      <c r="K273" s="38">
        <v>2.6779999999999999</v>
      </c>
      <c r="L273" s="38">
        <v>1.3440000000000001</v>
      </c>
      <c r="M273" s="38">
        <v>1.407</v>
      </c>
      <c r="N273" s="83"/>
      <c r="O273" s="36">
        <f t="shared" si="146"/>
        <v>7.3559999999999999</v>
      </c>
      <c r="P273" s="36">
        <f t="shared" si="149"/>
        <v>15.421000000000001</v>
      </c>
      <c r="Q273" s="36">
        <f t="shared" si="147"/>
        <v>10.513999999999999</v>
      </c>
      <c r="R273" s="36">
        <f>SUM(K273:M273)</f>
        <v>5.4290000000000003</v>
      </c>
      <c r="S273" s="36"/>
      <c r="T273" s="36">
        <f>R272+O273+P273+Q273</f>
        <v>49.497</v>
      </c>
      <c r="U273" s="36">
        <f>SUM(O273:R273)</f>
        <v>38.72</v>
      </c>
    </row>
    <row r="274" spans="1:21" x14ac:dyDescent="0.2">
      <c r="A274" s="76">
        <v>2022</v>
      </c>
      <c r="B274" s="38">
        <v>1.865</v>
      </c>
      <c r="C274" s="38">
        <v>1.5329999999999999</v>
      </c>
      <c r="D274" s="38">
        <v>1.673</v>
      </c>
      <c r="E274" s="38">
        <v>1.375</v>
      </c>
      <c r="F274" s="38">
        <v>1.427</v>
      </c>
      <c r="G274" s="38">
        <v>4.1340000000000003</v>
      </c>
      <c r="H274" s="38">
        <v>3.621</v>
      </c>
      <c r="I274" s="38">
        <v>6.2149999999999999</v>
      </c>
      <c r="J274" s="38">
        <v>1.6679999999999999</v>
      </c>
      <c r="K274" s="38">
        <v>1.587</v>
      </c>
      <c r="L274" s="38">
        <v>1.103</v>
      </c>
      <c r="M274" s="38">
        <v>1.2609999999999999</v>
      </c>
      <c r="N274" s="38"/>
      <c r="O274" s="38">
        <f t="shared" si="146"/>
        <v>5.0709999999999997</v>
      </c>
      <c r="P274" s="38">
        <f t="shared" si="149"/>
        <v>6.9359999999999999</v>
      </c>
      <c r="Q274" s="38">
        <f t="shared" si="147"/>
        <v>11.504</v>
      </c>
      <c r="R274" s="38">
        <f>SUM(K274:M274)</f>
        <v>3.9509999999999996</v>
      </c>
      <c r="S274" s="38"/>
      <c r="T274" s="38">
        <f>R273+O274+P274+Q274</f>
        <v>28.939999999999998</v>
      </c>
      <c r="U274" s="38">
        <f>SUM(O274:R274)</f>
        <v>27.462</v>
      </c>
    </row>
    <row r="275" spans="1:21" x14ac:dyDescent="0.2">
      <c r="A275" s="76">
        <v>2023</v>
      </c>
      <c r="B275" s="36">
        <v>1.101</v>
      </c>
      <c r="C275" s="38">
        <v>1.1279999999999999</v>
      </c>
      <c r="D275" s="38">
        <v>2.464</v>
      </c>
      <c r="E275" s="38">
        <v>4.4050000000000002</v>
      </c>
      <c r="F275" s="38">
        <v>7.2149999999999999</v>
      </c>
      <c r="G275" s="38">
        <v>7.6020000000000003</v>
      </c>
      <c r="H275" s="38">
        <v>16.725999999999999</v>
      </c>
      <c r="I275" s="38">
        <v>24.315999999999999</v>
      </c>
      <c r="J275" s="38">
        <v>13.577999999999999</v>
      </c>
      <c r="K275" s="38">
        <v>19.489000000000001</v>
      </c>
      <c r="L275" s="38">
        <v>22.803999999999998</v>
      </c>
      <c r="M275" s="38">
        <v>22.181999999999999</v>
      </c>
      <c r="N275" s="83"/>
      <c r="O275" s="38">
        <f t="shared" si="146"/>
        <v>4.6929999999999996</v>
      </c>
      <c r="P275" s="38">
        <f t="shared" si="149"/>
        <v>19.222000000000001</v>
      </c>
      <c r="Q275" s="38">
        <f t="shared" si="147"/>
        <v>54.620000000000005</v>
      </c>
      <c r="R275" s="38">
        <f>SUM(K275:M275)</f>
        <v>64.474999999999994</v>
      </c>
      <c r="S275" s="38"/>
      <c r="T275" s="38">
        <f>R274+O275+P275+Q275</f>
        <v>82.486000000000004</v>
      </c>
      <c r="U275" s="38">
        <f>SUM(O275:R275)</f>
        <v>143.01</v>
      </c>
    </row>
    <row r="276" spans="1:21" x14ac:dyDescent="0.2">
      <c r="A276" s="128">
        <v>2024</v>
      </c>
      <c r="B276" s="130">
        <v>18.077999999999999</v>
      </c>
      <c r="C276" s="133">
        <v>22.696999999999999</v>
      </c>
      <c r="D276" s="133">
        <v>25.518999999999998</v>
      </c>
      <c r="E276" s="133">
        <v>13.122</v>
      </c>
      <c r="F276" s="133">
        <v>16.655999999999999</v>
      </c>
      <c r="G276" s="133">
        <v>13.5</v>
      </c>
      <c r="H276" s="133">
        <v>13.224</v>
      </c>
      <c r="I276" s="133">
        <v>17.838000000000001</v>
      </c>
      <c r="J276" s="133">
        <v>44.122</v>
      </c>
      <c r="K276" s="133">
        <v>14.641999999999999</v>
      </c>
      <c r="L276" s="133">
        <v>11.952999999999999</v>
      </c>
      <c r="M276" s="133" t="s">
        <v>152</v>
      </c>
      <c r="N276" s="134"/>
      <c r="O276" s="133">
        <f t="shared" si="146"/>
        <v>66.293999999999997</v>
      </c>
      <c r="P276" s="133">
        <f t="shared" si="149"/>
        <v>43.277999999999999</v>
      </c>
      <c r="Q276" s="133">
        <f t="shared" si="147"/>
        <v>75.183999999999997</v>
      </c>
      <c r="R276" s="133" t="s">
        <v>152</v>
      </c>
      <c r="S276" s="134"/>
      <c r="T276" s="133">
        <f>R275+O276+P276+Q276</f>
        <v>249.23099999999999</v>
      </c>
      <c r="U276" s="133" t="s">
        <v>152</v>
      </c>
    </row>
    <row r="277" spans="1:21" x14ac:dyDescent="0.2">
      <c r="A277" s="76" t="s">
        <v>340</v>
      </c>
      <c r="B277" s="38"/>
      <c r="C277" s="38"/>
      <c r="D277" s="38"/>
      <c r="E277" s="38"/>
      <c r="F277" s="38"/>
      <c r="G277" s="38"/>
      <c r="H277" s="38"/>
      <c r="I277" s="38"/>
      <c r="J277" s="38"/>
      <c r="K277" s="38"/>
      <c r="L277" s="38"/>
      <c r="M277" s="38"/>
      <c r="N277" s="38"/>
      <c r="O277" s="38"/>
      <c r="P277" s="38"/>
      <c r="Q277" s="38"/>
      <c r="R277" s="38"/>
      <c r="S277" s="38"/>
      <c r="T277" s="38"/>
      <c r="U277" s="38"/>
    </row>
    <row r="278" spans="1:21" x14ac:dyDescent="0.2">
      <c r="A278" s="12" t="s">
        <v>357</v>
      </c>
      <c r="B278" s="12"/>
      <c r="C278" s="12"/>
      <c r="D278" s="12"/>
      <c r="E278" s="12"/>
      <c r="F278" s="12"/>
      <c r="G278" s="12"/>
      <c r="H278" s="12"/>
      <c r="I278" s="12"/>
      <c r="J278" s="12"/>
      <c r="K278" s="12"/>
      <c r="L278" s="12"/>
      <c r="M278" s="12"/>
      <c r="N278" s="12"/>
      <c r="O278" s="12"/>
      <c r="P278" s="12"/>
      <c r="Q278" s="12"/>
      <c r="R278" s="12"/>
      <c r="S278" s="12"/>
      <c r="T278" s="12"/>
      <c r="U278" s="12"/>
    </row>
    <row r="279" spans="1:21" x14ac:dyDescent="0.2">
      <c r="A279" s="12" t="s">
        <v>157</v>
      </c>
      <c r="B279" s="36"/>
      <c r="C279" s="36"/>
      <c r="D279" s="36"/>
      <c r="E279" s="36"/>
      <c r="F279" s="36"/>
      <c r="G279" s="36"/>
      <c r="H279" s="36"/>
      <c r="I279" s="36"/>
      <c r="J279" s="36"/>
      <c r="K279" s="36"/>
      <c r="L279" s="36"/>
      <c r="M279" s="36"/>
      <c r="N279" s="36"/>
      <c r="O279" s="36"/>
      <c r="P279" s="36"/>
      <c r="Q279" s="36"/>
      <c r="R279" s="36"/>
      <c r="S279" s="83"/>
      <c r="T279" s="36"/>
      <c r="U279" s="36"/>
    </row>
    <row r="280" spans="1:21" x14ac:dyDescent="0.2">
      <c r="A280" s="12" t="s">
        <v>325</v>
      </c>
      <c r="B280" s="12"/>
      <c r="C280" s="12"/>
      <c r="D280" s="12"/>
      <c r="E280" s="12"/>
      <c r="F280" s="12"/>
      <c r="G280" s="12"/>
      <c r="H280" s="12"/>
      <c r="I280" s="12"/>
      <c r="J280" s="12"/>
      <c r="K280" s="12"/>
      <c r="L280" s="12"/>
      <c r="M280" s="12"/>
      <c r="N280" s="12"/>
      <c r="O280" s="12"/>
      <c r="P280" s="12"/>
      <c r="Q280" s="12"/>
      <c r="R280" s="12"/>
      <c r="S280" s="12"/>
      <c r="T280" s="36"/>
      <c r="U280" s="12"/>
    </row>
    <row r="281" spans="1:21" x14ac:dyDescent="0.2">
      <c r="A281" s="12" t="s">
        <v>389</v>
      </c>
      <c r="B281" s="12"/>
      <c r="C281" s="12"/>
      <c r="D281" s="12"/>
      <c r="E281" s="12"/>
      <c r="F281" s="12"/>
      <c r="G281" s="12"/>
      <c r="H281" s="12"/>
      <c r="I281" s="12"/>
      <c r="J281" s="12"/>
      <c r="K281" s="12"/>
      <c r="L281" s="12"/>
      <c r="M281" s="12"/>
      <c r="N281" s="12"/>
      <c r="O281" s="12"/>
      <c r="P281" s="12"/>
      <c r="Q281" s="12"/>
      <c r="R281" s="12"/>
      <c r="S281" s="12"/>
      <c r="T281" s="12"/>
      <c r="U281" s="12"/>
    </row>
    <row r="282" spans="1:21" x14ac:dyDescent="0.2">
      <c r="A282" s="86" t="s">
        <v>408</v>
      </c>
      <c r="B282" s="12"/>
      <c r="C282" s="12"/>
      <c r="D282" s="12"/>
      <c r="E282" s="12"/>
      <c r="F282" s="12"/>
      <c r="G282" s="12"/>
      <c r="H282" s="12"/>
      <c r="I282" s="12"/>
      <c r="J282" s="12"/>
      <c r="K282" s="12"/>
      <c r="L282" s="12"/>
      <c r="M282" s="12"/>
      <c r="N282" s="12"/>
      <c r="O282" s="12"/>
      <c r="P282" s="12"/>
      <c r="Q282" s="12"/>
      <c r="R282" s="12"/>
      <c r="S282" s="12"/>
      <c r="T282" s="12"/>
      <c r="U282" s="12"/>
    </row>
    <row r="283" spans="1:21" x14ac:dyDescent="0.2">
      <c r="A283" s="100" t="s">
        <v>332</v>
      </c>
    </row>
  </sheetData>
  <pageMargins left="0.5" right="0.5" top="0.75" bottom="0.75" header="0.5" footer="0.5"/>
  <pageSetup scale="65" orientation="landscape" r:id="rId1"/>
  <headerFooter alignWithMargins="0"/>
  <ignoredErrors>
    <ignoredError sqref="O244:R273 O194:R205 O142:R149 O175:R187 O74:R104 O40:R70 O6:R36 O150:R172 T142:T149 T74:U104 T40:U70 T6:U36 O37:U37 O71:U71 O105:U105 O173:U173 Q206:R206 O206 O207:U207 P206 S206:U206 O274:R274 O275:U275 S274:U274" formulaRange="1"/>
  </ignoredError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32916B-841D-46FF-94E4-7DA55B39E58C}">
  <dimension ref="A1:S88"/>
  <sheetViews>
    <sheetView workbookViewId="0">
      <pane xSplit="1" ySplit="5" topLeftCell="B6" activePane="bottomRight" state="frozen"/>
      <selection pane="topRight" activeCell="B1" sqref="B1"/>
      <selection pane="bottomLeft" activeCell="A6" sqref="A6"/>
      <selection pane="bottomRight"/>
    </sheetView>
  </sheetViews>
  <sheetFormatPr defaultColWidth="11.28515625" defaultRowHeight="11.25" x14ac:dyDescent="0.2"/>
  <cols>
    <col min="1" max="1" width="11.28515625" style="21"/>
    <col min="2" max="4" width="11.28515625" style="21" customWidth="1"/>
    <col min="5" max="5" width="11.28515625" style="21"/>
    <col min="6" max="6" width="11.28515625" style="21" customWidth="1"/>
    <col min="7" max="10" width="11.28515625" style="21"/>
    <col min="11" max="11" width="12.42578125" style="21" customWidth="1"/>
    <col min="12" max="258" width="11.28515625" style="21"/>
    <col min="259" max="260" width="11.28515625" style="21" customWidth="1"/>
    <col min="261" max="261" width="11.28515625" style="21"/>
    <col min="262" max="262" width="11.28515625" style="21" customWidth="1"/>
    <col min="263" max="266" width="11.28515625" style="21"/>
    <col min="267" max="267" width="12.42578125" style="21" customWidth="1"/>
    <col min="268" max="514" width="11.28515625" style="21"/>
    <col min="515" max="516" width="11.28515625" style="21" customWidth="1"/>
    <col min="517" max="517" width="11.28515625" style="21"/>
    <col min="518" max="518" width="11.28515625" style="21" customWidth="1"/>
    <col min="519" max="522" width="11.28515625" style="21"/>
    <col min="523" max="523" width="12.42578125" style="21" customWidth="1"/>
    <col min="524" max="770" width="11.28515625" style="21"/>
    <col min="771" max="772" width="11.28515625" style="21" customWidth="1"/>
    <col min="773" max="773" width="11.28515625" style="21"/>
    <col min="774" max="774" width="11.28515625" style="21" customWidth="1"/>
    <col min="775" max="778" width="11.28515625" style="21"/>
    <col min="779" max="779" width="12.42578125" style="21" customWidth="1"/>
    <col min="780" max="1026" width="11.28515625" style="21"/>
    <col min="1027" max="1028" width="11.28515625" style="21" customWidth="1"/>
    <col min="1029" max="1029" width="11.28515625" style="21"/>
    <col min="1030" max="1030" width="11.28515625" style="21" customWidth="1"/>
    <col min="1031" max="1034" width="11.28515625" style="21"/>
    <col min="1035" max="1035" width="12.42578125" style="21" customWidth="1"/>
    <col min="1036" max="1282" width="11.28515625" style="21"/>
    <col min="1283" max="1284" width="11.28515625" style="21" customWidth="1"/>
    <col min="1285" max="1285" width="11.28515625" style="21"/>
    <col min="1286" max="1286" width="11.28515625" style="21" customWidth="1"/>
    <col min="1287" max="1290" width="11.28515625" style="21"/>
    <col min="1291" max="1291" width="12.42578125" style="21" customWidth="1"/>
    <col min="1292" max="1538" width="11.28515625" style="21"/>
    <col min="1539" max="1540" width="11.28515625" style="21" customWidth="1"/>
    <col min="1541" max="1541" width="11.28515625" style="21"/>
    <col min="1542" max="1542" width="11.28515625" style="21" customWidth="1"/>
    <col min="1543" max="1546" width="11.28515625" style="21"/>
    <col min="1547" max="1547" width="12.42578125" style="21" customWidth="1"/>
    <col min="1548" max="1794" width="11.28515625" style="21"/>
    <col min="1795" max="1796" width="11.28515625" style="21" customWidth="1"/>
    <col min="1797" max="1797" width="11.28515625" style="21"/>
    <col min="1798" max="1798" width="11.28515625" style="21" customWidth="1"/>
    <col min="1799" max="1802" width="11.28515625" style="21"/>
    <col min="1803" max="1803" width="12.42578125" style="21" customWidth="1"/>
    <col min="1804" max="2050" width="11.28515625" style="21"/>
    <col min="2051" max="2052" width="11.28515625" style="21" customWidth="1"/>
    <col min="2053" max="2053" width="11.28515625" style="21"/>
    <col min="2054" max="2054" width="11.28515625" style="21" customWidth="1"/>
    <col min="2055" max="2058" width="11.28515625" style="21"/>
    <col min="2059" max="2059" width="12.42578125" style="21" customWidth="1"/>
    <col min="2060" max="2306" width="11.28515625" style="21"/>
    <col min="2307" max="2308" width="11.28515625" style="21" customWidth="1"/>
    <col min="2309" max="2309" width="11.28515625" style="21"/>
    <col min="2310" max="2310" width="11.28515625" style="21" customWidth="1"/>
    <col min="2311" max="2314" width="11.28515625" style="21"/>
    <col min="2315" max="2315" width="12.42578125" style="21" customWidth="1"/>
    <col min="2316" max="2562" width="11.28515625" style="21"/>
    <col min="2563" max="2564" width="11.28515625" style="21" customWidth="1"/>
    <col min="2565" max="2565" width="11.28515625" style="21"/>
    <col min="2566" max="2566" width="11.28515625" style="21" customWidth="1"/>
    <col min="2567" max="2570" width="11.28515625" style="21"/>
    <col min="2571" max="2571" width="12.42578125" style="21" customWidth="1"/>
    <col min="2572" max="2818" width="11.28515625" style="21"/>
    <col min="2819" max="2820" width="11.28515625" style="21" customWidth="1"/>
    <col min="2821" max="2821" width="11.28515625" style="21"/>
    <col min="2822" max="2822" width="11.28515625" style="21" customWidth="1"/>
    <col min="2823" max="2826" width="11.28515625" style="21"/>
    <col min="2827" max="2827" width="12.42578125" style="21" customWidth="1"/>
    <col min="2828" max="3074" width="11.28515625" style="21"/>
    <col min="3075" max="3076" width="11.28515625" style="21" customWidth="1"/>
    <col min="3077" max="3077" width="11.28515625" style="21"/>
    <col min="3078" max="3078" width="11.28515625" style="21" customWidth="1"/>
    <col min="3079" max="3082" width="11.28515625" style="21"/>
    <col min="3083" max="3083" width="12.42578125" style="21" customWidth="1"/>
    <col min="3084" max="3330" width="11.28515625" style="21"/>
    <col min="3331" max="3332" width="11.28515625" style="21" customWidth="1"/>
    <col min="3333" max="3333" width="11.28515625" style="21"/>
    <col min="3334" max="3334" width="11.28515625" style="21" customWidth="1"/>
    <col min="3335" max="3338" width="11.28515625" style="21"/>
    <col min="3339" max="3339" width="12.42578125" style="21" customWidth="1"/>
    <col min="3340" max="3586" width="11.28515625" style="21"/>
    <col min="3587" max="3588" width="11.28515625" style="21" customWidth="1"/>
    <col min="3589" max="3589" width="11.28515625" style="21"/>
    <col min="3590" max="3590" width="11.28515625" style="21" customWidth="1"/>
    <col min="3591" max="3594" width="11.28515625" style="21"/>
    <col min="3595" max="3595" width="12.42578125" style="21" customWidth="1"/>
    <col min="3596" max="3842" width="11.28515625" style="21"/>
    <col min="3843" max="3844" width="11.28515625" style="21" customWidth="1"/>
    <col min="3845" max="3845" width="11.28515625" style="21"/>
    <col min="3846" max="3846" width="11.28515625" style="21" customWidth="1"/>
    <col min="3847" max="3850" width="11.28515625" style="21"/>
    <col min="3851" max="3851" width="12.42578125" style="21" customWidth="1"/>
    <col min="3852" max="4098" width="11.28515625" style="21"/>
    <col min="4099" max="4100" width="11.28515625" style="21" customWidth="1"/>
    <col min="4101" max="4101" width="11.28515625" style="21"/>
    <col min="4102" max="4102" width="11.28515625" style="21" customWidth="1"/>
    <col min="4103" max="4106" width="11.28515625" style="21"/>
    <col min="4107" max="4107" width="12.42578125" style="21" customWidth="1"/>
    <col min="4108" max="4354" width="11.28515625" style="21"/>
    <col min="4355" max="4356" width="11.28515625" style="21" customWidth="1"/>
    <col min="4357" max="4357" width="11.28515625" style="21"/>
    <col min="4358" max="4358" width="11.28515625" style="21" customWidth="1"/>
    <col min="4359" max="4362" width="11.28515625" style="21"/>
    <col min="4363" max="4363" width="12.42578125" style="21" customWidth="1"/>
    <col min="4364" max="4610" width="11.28515625" style="21"/>
    <col min="4611" max="4612" width="11.28515625" style="21" customWidth="1"/>
    <col min="4613" max="4613" width="11.28515625" style="21"/>
    <col min="4614" max="4614" width="11.28515625" style="21" customWidth="1"/>
    <col min="4615" max="4618" width="11.28515625" style="21"/>
    <col min="4619" max="4619" width="12.42578125" style="21" customWidth="1"/>
    <col min="4620" max="4866" width="11.28515625" style="21"/>
    <col min="4867" max="4868" width="11.28515625" style="21" customWidth="1"/>
    <col min="4869" max="4869" width="11.28515625" style="21"/>
    <col min="4870" max="4870" width="11.28515625" style="21" customWidth="1"/>
    <col min="4871" max="4874" width="11.28515625" style="21"/>
    <col min="4875" max="4875" width="12.42578125" style="21" customWidth="1"/>
    <col min="4876" max="5122" width="11.28515625" style="21"/>
    <col min="5123" max="5124" width="11.28515625" style="21" customWidth="1"/>
    <col min="5125" max="5125" width="11.28515625" style="21"/>
    <col min="5126" max="5126" width="11.28515625" style="21" customWidth="1"/>
    <col min="5127" max="5130" width="11.28515625" style="21"/>
    <col min="5131" max="5131" width="12.42578125" style="21" customWidth="1"/>
    <col min="5132" max="5378" width="11.28515625" style="21"/>
    <col min="5379" max="5380" width="11.28515625" style="21" customWidth="1"/>
    <col min="5381" max="5381" width="11.28515625" style="21"/>
    <col min="5382" max="5382" width="11.28515625" style="21" customWidth="1"/>
    <col min="5383" max="5386" width="11.28515625" style="21"/>
    <col min="5387" max="5387" width="12.42578125" style="21" customWidth="1"/>
    <col min="5388" max="5634" width="11.28515625" style="21"/>
    <col min="5635" max="5636" width="11.28515625" style="21" customWidth="1"/>
    <col min="5637" max="5637" width="11.28515625" style="21"/>
    <col min="5638" max="5638" width="11.28515625" style="21" customWidth="1"/>
    <col min="5639" max="5642" width="11.28515625" style="21"/>
    <col min="5643" max="5643" width="12.42578125" style="21" customWidth="1"/>
    <col min="5644" max="5890" width="11.28515625" style="21"/>
    <col min="5891" max="5892" width="11.28515625" style="21" customWidth="1"/>
    <col min="5893" max="5893" width="11.28515625" style="21"/>
    <col min="5894" max="5894" width="11.28515625" style="21" customWidth="1"/>
    <col min="5895" max="5898" width="11.28515625" style="21"/>
    <col min="5899" max="5899" width="12.42578125" style="21" customWidth="1"/>
    <col min="5900" max="6146" width="11.28515625" style="21"/>
    <col min="6147" max="6148" width="11.28515625" style="21" customWidth="1"/>
    <col min="6149" max="6149" width="11.28515625" style="21"/>
    <col min="6150" max="6150" width="11.28515625" style="21" customWidth="1"/>
    <col min="6151" max="6154" width="11.28515625" style="21"/>
    <col min="6155" max="6155" width="12.42578125" style="21" customWidth="1"/>
    <col min="6156" max="6402" width="11.28515625" style="21"/>
    <col min="6403" max="6404" width="11.28515625" style="21" customWidth="1"/>
    <col min="6405" max="6405" width="11.28515625" style="21"/>
    <col min="6406" max="6406" width="11.28515625" style="21" customWidth="1"/>
    <col min="6407" max="6410" width="11.28515625" style="21"/>
    <col min="6411" max="6411" width="12.42578125" style="21" customWidth="1"/>
    <col min="6412" max="6658" width="11.28515625" style="21"/>
    <col min="6659" max="6660" width="11.28515625" style="21" customWidth="1"/>
    <col min="6661" max="6661" width="11.28515625" style="21"/>
    <col min="6662" max="6662" width="11.28515625" style="21" customWidth="1"/>
    <col min="6663" max="6666" width="11.28515625" style="21"/>
    <col min="6667" max="6667" width="12.42578125" style="21" customWidth="1"/>
    <col min="6668" max="6914" width="11.28515625" style="21"/>
    <col min="6915" max="6916" width="11.28515625" style="21" customWidth="1"/>
    <col min="6917" max="6917" width="11.28515625" style="21"/>
    <col min="6918" max="6918" width="11.28515625" style="21" customWidth="1"/>
    <col min="6919" max="6922" width="11.28515625" style="21"/>
    <col min="6923" max="6923" width="12.42578125" style="21" customWidth="1"/>
    <col min="6924" max="7170" width="11.28515625" style="21"/>
    <col min="7171" max="7172" width="11.28515625" style="21" customWidth="1"/>
    <col min="7173" max="7173" width="11.28515625" style="21"/>
    <col min="7174" max="7174" width="11.28515625" style="21" customWidth="1"/>
    <col min="7175" max="7178" width="11.28515625" style="21"/>
    <col min="7179" max="7179" width="12.42578125" style="21" customWidth="1"/>
    <col min="7180" max="7426" width="11.28515625" style="21"/>
    <col min="7427" max="7428" width="11.28515625" style="21" customWidth="1"/>
    <col min="7429" max="7429" width="11.28515625" style="21"/>
    <col min="7430" max="7430" width="11.28515625" style="21" customWidth="1"/>
    <col min="7431" max="7434" width="11.28515625" style="21"/>
    <col min="7435" max="7435" width="12.42578125" style="21" customWidth="1"/>
    <col min="7436" max="7682" width="11.28515625" style="21"/>
    <col min="7683" max="7684" width="11.28515625" style="21" customWidth="1"/>
    <col min="7685" max="7685" width="11.28515625" style="21"/>
    <col min="7686" max="7686" width="11.28515625" style="21" customWidth="1"/>
    <col min="7687" max="7690" width="11.28515625" style="21"/>
    <col min="7691" max="7691" width="12.42578125" style="21" customWidth="1"/>
    <col min="7692" max="7938" width="11.28515625" style="21"/>
    <col min="7939" max="7940" width="11.28515625" style="21" customWidth="1"/>
    <col min="7941" max="7941" width="11.28515625" style="21"/>
    <col min="7942" max="7942" width="11.28515625" style="21" customWidth="1"/>
    <col min="7943" max="7946" width="11.28515625" style="21"/>
    <col min="7947" max="7947" width="12.42578125" style="21" customWidth="1"/>
    <col min="7948" max="8194" width="11.28515625" style="21"/>
    <col min="8195" max="8196" width="11.28515625" style="21" customWidth="1"/>
    <col min="8197" max="8197" width="11.28515625" style="21"/>
    <col min="8198" max="8198" width="11.28515625" style="21" customWidth="1"/>
    <col min="8199" max="8202" width="11.28515625" style="21"/>
    <col min="8203" max="8203" width="12.42578125" style="21" customWidth="1"/>
    <col min="8204" max="8450" width="11.28515625" style="21"/>
    <col min="8451" max="8452" width="11.28515625" style="21" customWidth="1"/>
    <col min="8453" max="8453" width="11.28515625" style="21"/>
    <col min="8454" max="8454" width="11.28515625" style="21" customWidth="1"/>
    <col min="8455" max="8458" width="11.28515625" style="21"/>
    <col min="8459" max="8459" width="12.42578125" style="21" customWidth="1"/>
    <col min="8460" max="8706" width="11.28515625" style="21"/>
    <col min="8707" max="8708" width="11.28515625" style="21" customWidth="1"/>
    <col min="8709" max="8709" width="11.28515625" style="21"/>
    <col min="8710" max="8710" width="11.28515625" style="21" customWidth="1"/>
    <col min="8711" max="8714" width="11.28515625" style="21"/>
    <col min="8715" max="8715" width="12.42578125" style="21" customWidth="1"/>
    <col min="8716" max="8962" width="11.28515625" style="21"/>
    <col min="8963" max="8964" width="11.28515625" style="21" customWidth="1"/>
    <col min="8965" max="8965" width="11.28515625" style="21"/>
    <col min="8966" max="8966" width="11.28515625" style="21" customWidth="1"/>
    <col min="8967" max="8970" width="11.28515625" style="21"/>
    <col min="8971" max="8971" width="12.42578125" style="21" customWidth="1"/>
    <col min="8972" max="9218" width="11.28515625" style="21"/>
    <col min="9219" max="9220" width="11.28515625" style="21" customWidth="1"/>
    <col min="9221" max="9221" width="11.28515625" style="21"/>
    <col min="9222" max="9222" width="11.28515625" style="21" customWidth="1"/>
    <col min="9223" max="9226" width="11.28515625" style="21"/>
    <col min="9227" max="9227" width="12.42578125" style="21" customWidth="1"/>
    <col min="9228" max="9474" width="11.28515625" style="21"/>
    <col min="9475" max="9476" width="11.28515625" style="21" customWidth="1"/>
    <col min="9477" max="9477" width="11.28515625" style="21"/>
    <col min="9478" max="9478" width="11.28515625" style="21" customWidth="1"/>
    <col min="9479" max="9482" width="11.28515625" style="21"/>
    <col min="9483" max="9483" width="12.42578125" style="21" customWidth="1"/>
    <col min="9484" max="9730" width="11.28515625" style="21"/>
    <col min="9731" max="9732" width="11.28515625" style="21" customWidth="1"/>
    <col min="9733" max="9733" width="11.28515625" style="21"/>
    <col min="9734" max="9734" width="11.28515625" style="21" customWidth="1"/>
    <col min="9735" max="9738" width="11.28515625" style="21"/>
    <col min="9739" max="9739" width="12.42578125" style="21" customWidth="1"/>
    <col min="9740" max="9986" width="11.28515625" style="21"/>
    <col min="9987" max="9988" width="11.28515625" style="21" customWidth="1"/>
    <col min="9989" max="9989" width="11.28515625" style="21"/>
    <col min="9990" max="9990" width="11.28515625" style="21" customWidth="1"/>
    <col min="9991" max="9994" width="11.28515625" style="21"/>
    <col min="9995" max="9995" width="12.42578125" style="21" customWidth="1"/>
    <col min="9996" max="10242" width="11.28515625" style="21"/>
    <col min="10243" max="10244" width="11.28515625" style="21" customWidth="1"/>
    <col min="10245" max="10245" width="11.28515625" style="21"/>
    <col min="10246" max="10246" width="11.28515625" style="21" customWidth="1"/>
    <col min="10247" max="10250" width="11.28515625" style="21"/>
    <col min="10251" max="10251" width="12.42578125" style="21" customWidth="1"/>
    <col min="10252" max="10498" width="11.28515625" style="21"/>
    <col min="10499" max="10500" width="11.28515625" style="21" customWidth="1"/>
    <col min="10501" max="10501" width="11.28515625" style="21"/>
    <col min="10502" max="10502" width="11.28515625" style="21" customWidth="1"/>
    <col min="10503" max="10506" width="11.28515625" style="21"/>
    <col min="10507" max="10507" width="12.42578125" style="21" customWidth="1"/>
    <col min="10508" max="10754" width="11.28515625" style="21"/>
    <col min="10755" max="10756" width="11.28515625" style="21" customWidth="1"/>
    <col min="10757" max="10757" width="11.28515625" style="21"/>
    <col min="10758" max="10758" width="11.28515625" style="21" customWidth="1"/>
    <col min="10759" max="10762" width="11.28515625" style="21"/>
    <col min="10763" max="10763" width="12.42578125" style="21" customWidth="1"/>
    <col min="10764" max="11010" width="11.28515625" style="21"/>
    <col min="11011" max="11012" width="11.28515625" style="21" customWidth="1"/>
    <col min="11013" max="11013" width="11.28515625" style="21"/>
    <col min="11014" max="11014" width="11.28515625" style="21" customWidth="1"/>
    <col min="11015" max="11018" width="11.28515625" style="21"/>
    <col min="11019" max="11019" width="12.42578125" style="21" customWidth="1"/>
    <col min="11020" max="11266" width="11.28515625" style="21"/>
    <col min="11267" max="11268" width="11.28515625" style="21" customWidth="1"/>
    <col min="11269" max="11269" width="11.28515625" style="21"/>
    <col min="11270" max="11270" width="11.28515625" style="21" customWidth="1"/>
    <col min="11271" max="11274" width="11.28515625" style="21"/>
    <col min="11275" max="11275" width="12.42578125" style="21" customWidth="1"/>
    <col min="11276" max="11522" width="11.28515625" style="21"/>
    <col min="11523" max="11524" width="11.28515625" style="21" customWidth="1"/>
    <col min="11525" max="11525" width="11.28515625" style="21"/>
    <col min="11526" max="11526" width="11.28515625" style="21" customWidth="1"/>
    <col min="11527" max="11530" width="11.28515625" style="21"/>
    <col min="11531" max="11531" width="12.42578125" style="21" customWidth="1"/>
    <col min="11532" max="11778" width="11.28515625" style="21"/>
    <col min="11779" max="11780" width="11.28515625" style="21" customWidth="1"/>
    <col min="11781" max="11781" width="11.28515625" style="21"/>
    <col min="11782" max="11782" width="11.28515625" style="21" customWidth="1"/>
    <col min="11783" max="11786" width="11.28515625" style="21"/>
    <col min="11787" max="11787" width="12.42578125" style="21" customWidth="1"/>
    <col min="11788" max="12034" width="11.28515625" style="21"/>
    <col min="12035" max="12036" width="11.28515625" style="21" customWidth="1"/>
    <col min="12037" max="12037" width="11.28515625" style="21"/>
    <col min="12038" max="12038" width="11.28515625" style="21" customWidth="1"/>
    <col min="12039" max="12042" width="11.28515625" style="21"/>
    <col min="12043" max="12043" width="12.42578125" style="21" customWidth="1"/>
    <col min="12044" max="12290" width="11.28515625" style="21"/>
    <col min="12291" max="12292" width="11.28515625" style="21" customWidth="1"/>
    <col min="12293" max="12293" width="11.28515625" style="21"/>
    <col min="12294" max="12294" width="11.28515625" style="21" customWidth="1"/>
    <col min="12295" max="12298" width="11.28515625" style="21"/>
    <col min="12299" max="12299" width="12.42578125" style="21" customWidth="1"/>
    <col min="12300" max="12546" width="11.28515625" style="21"/>
    <col min="12547" max="12548" width="11.28515625" style="21" customWidth="1"/>
    <col min="12549" max="12549" width="11.28515625" style="21"/>
    <col min="12550" max="12550" width="11.28515625" style="21" customWidth="1"/>
    <col min="12551" max="12554" width="11.28515625" style="21"/>
    <col min="12555" max="12555" width="12.42578125" style="21" customWidth="1"/>
    <col min="12556" max="12802" width="11.28515625" style="21"/>
    <col min="12803" max="12804" width="11.28515625" style="21" customWidth="1"/>
    <col min="12805" max="12805" width="11.28515625" style="21"/>
    <col min="12806" max="12806" width="11.28515625" style="21" customWidth="1"/>
    <col min="12807" max="12810" width="11.28515625" style="21"/>
    <col min="12811" max="12811" width="12.42578125" style="21" customWidth="1"/>
    <col min="12812" max="13058" width="11.28515625" style="21"/>
    <col min="13059" max="13060" width="11.28515625" style="21" customWidth="1"/>
    <col min="13061" max="13061" width="11.28515625" style="21"/>
    <col min="13062" max="13062" width="11.28515625" style="21" customWidth="1"/>
    <col min="13063" max="13066" width="11.28515625" style="21"/>
    <col min="13067" max="13067" width="12.42578125" style="21" customWidth="1"/>
    <col min="13068" max="13314" width="11.28515625" style="21"/>
    <col min="13315" max="13316" width="11.28515625" style="21" customWidth="1"/>
    <col min="13317" max="13317" width="11.28515625" style="21"/>
    <col min="13318" max="13318" width="11.28515625" style="21" customWidth="1"/>
    <col min="13319" max="13322" width="11.28515625" style="21"/>
    <col min="13323" max="13323" width="12.42578125" style="21" customWidth="1"/>
    <col min="13324" max="13570" width="11.28515625" style="21"/>
    <col min="13571" max="13572" width="11.28515625" style="21" customWidth="1"/>
    <col min="13573" max="13573" width="11.28515625" style="21"/>
    <col min="13574" max="13574" width="11.28515625" style="21" customWidth="1"/>
    <col min="13575" max="13578" width="11.28515625" style="21"/>
    <col min="13579" max="13579" width="12.42578125" style="21" customWidth="1"/>
    <col min="13580" max="13826" width="11.28515625" style="21"/>
    <col min="13827" max="13828" width="11.28515625" style="21" customWidth="1"/>
    <col min="13829" max="13829" width="11.28515625" style="21"/>
    <col min="13830" max="13830" width="11.28515625" style="21" customWidth="1"/>
    <col min="13831" max="13834" width="11.28515625" style="21"/>
    <col min="13835" max="13835" width="12.42578125" style="21" customWidth="1"/>
    <col min="13836" max="14082" width="11.28515625" style="21"/>
    <col min="14083" max="14084" width="11.28515625" style="21" customWidth="1"/>
    <col min="14085" max="14085" width="11.28515625" style="21"/>
    <col min="14086" max="14086" width="11.28515625" style="21" customWidth="1"/>
    <col min="14087" max="14090" width="11.28515625" style="21"/>
    <col min="14091" max="14091" width="12.42578125" style="21" customWidth="1"/>
    <col min="14092" max="14338" width="11.28515625" style="21"/>
    <col min="14339" max="14340" width="11.28515625" style="21" customWidth="1"/>
    <col min="14341" max="14341" width="11.28515625" style="21"/>
    <col min="14342" max="14342" width="11.28515625" style="21" customWidth="1"/>
    <col min="14343" max="14346" width="11.28515625" style="21"/>
    <col min="14347" max="14347" width="12.42578125" style="21" customWidth="1"/>
    <col min="14348" max="14594" width="11.28515625" style="21"/>
    <col min="14595" max="14596" width="11.28515625" style="21" customWidth="1"/>
    <col min="14597" max="14597" width="11.28515625" style="21"/>
    <col min="14598" max="14598" width="11.28515625" style="21" customWidth="1"/>
    <col min="14599" max="14602" width="11.28515625" style="21"/>
    <col min="14603" max="14603" width="12.42578125" style="21" customWidth="1"/>
    <col min="14604" max="14850" width="11.28515625" style="21"/>
    <col min="14851" max="14852" width="11.28515625" style="21" customWidth="1"/>
    <col min="14853" max="14853" width="11.28515625" style="21"/>
    <col min="14854" max="14854" width="11.28515625" style="21" customWidth="1"/>
    <col min="14855" max="14858" width="11.28515625" style="21"/>
    <col min="14859" max="14859" width="12.42578125" style="21" customWidth="1"/>
    <col min="14860" max="15106" width="11.28515625" style="21"/>
    <col min="15107" max="15108" width="11.28515625" style="21" customWidth="1"/>
    <col min="15109" max="15109" width="11.28515625" style="21"/>
    <col min="15110" max="15110" width="11.28515625" style="21" customWidth="1"/>
    <col min="15111" max="15114" width="11.28515625" style="21"/>
    <col min="15115" max="15115" width="12.42578125" style="21" customWidth="1"/>
    <col min="15116" max="15362" width="11.28515625" style="21"/>
    <col min="15363" max="15364" width="11.28515625" style="21" customWidth="1"/>
    <col min="15365" max="15365" width="11.28515625" style="21"/>
    <col min="15366" max="15366" width="11.28515625" style="21" customWidth="1"/>
    <col min="15367" max="15370" width="11.28515625" style="21"/>
    <col min="15371" max="15371" width="12.42578125" style="21" customWidth="1"/>
    <col min="15372" max="15618" width="11.28515625" style="21"/>
    <col min="15619" max="15620" width="11.28515625" style="21" customWidth="1"/>
    <col min="15621" max="15621" width="11.28515625" style="21"/>
    <col min="15622" max="15622" width="11.28515625" style="21" customWidth="1"/>
    <col min="15623" max="15626" width="11.28515625" style="21"/>
    <col min="15627" max="15627" width="12.42578125" style="21" customWidth="1"/>
    <col min="15628" max="15874" width="11.28515625" style="21"/>
    <col min="15875" max="15876" width="11.28515625" style="21" customWidth="1"/>
    <col min="15877" max="15877" width="11.28515625" style="21"/>
    <col min="15878" max="15878" width="11.28515625" style="21" customWidth="1"/>
    <col min="15879" max="15882" width="11.28515625" style="21"/>
    <col min="15883" max="15883" width="12.42578125" style="21" customWidth="1"/>
    <col min="15884" max="16130" width="11.28515625" style="21"/>
    <col min="16131" max="16132" width="11.28515625" style="21" customWidth="1"/>
    <col min="16133" max="16133" width="11.28515625" style="21"/>
    <col min="16134" max="16134" width="11.28515625" style="21" customWidth="1"/>
    <col min="16135" max="16138" width="11.28515625" style="21"/>
    <col min="16139" max="16139" width="12.42578125" style="21" customWidth="1"/>
    <col min="16140" max="16384" width="11.28515625" style="21"/>
  </cols>
  <sheetData>
    <row r="1" spans="1:19" x14ac:dyDescent="0.2">
      <c r="A1" s="42" t="s">
        <v>404</v>
      </c>
      <c r="B1" s="8"/>
      <c r="C1" s="8"/>
      <c r="D1" s="8"/>
      <c r="E1" s="8"/>
      <c r="F1" s="8"/>
      <c r="G1" s="8"/>
      <c r="H1" s="8"/>
      <c r="I1" s="8"/>
      <c r="J1" s="8"/>
      <c r="K1" s="8"/>
      <c r="L1" s="8"/>
      <c r="M1" s="8"/>
      <c r="N1" s="8"/>
      <c r="O1" s="8"/>
    </row>
    <row r="2" spans="1:19" x14ac:dyDescent="0.2">
      <c r="A2" s="12"/>
      <c r="B2" s="83" t="s">
        <v>91</v>
      </c>
      <c r="C2" s="83" t="s">
        <v>92</v>
      </c>
      <c r="D2" s="83" t="s">
        <v>93</v>
      </c>
      <c r="E2" s="83" t="s">
        <v>345</v>
      </c>
      <c r="F2" s="83" t="s">
        <v>94</v>
      </c>
      <c r="G2" s="83" t="s">
        <v>95</v>
      </c>
      <c r="H2" s="77" t="s">
        <v>96</v>
      </c>
      <c r="I2" s="77" t="s">
        <v>97</v>
      </c>
      <c r="J2" s="77" t="s">
        <v>98</v>
      </c>
      <c r="K2" s="77" t="s">
        <v>99</v>
      </c>
      <c r="L2" s="77" t="s">
        <v>100</v>
      </c>
      <c r="M2" s="77" t="s">
        <v>95</v>
      </c>
      <c r="N2" s="83" t="s">
        <v>97</v>
      </c>
      <c r="O2" s="77"/>
    </row>
    <row r="3" spans="1:19" x14ac:dyDescent="0.2">
      <c r="A3" s="12" t="s">
        <v>137</v>
      </c>
      <c r="B3" s="83" t="s">
        <v>102</v>
      </c>
      <c r="C3" s="83" t="s">
        <v>103</v>
      </c>
      <c r="D3" s="83" t="s">
        <v>104</v>
      </c>
      <c r="E3" s="83"/>
      <c r="F3" s="83" t="s">
        <v>105</v>
      </c>
      <c r="G3" s="83" t="s">
        <v>106</v>
      </c>
      <c r="H3" s="77" t="s">
        <v>106</v>
      </c>
      <c r="I3" s="77" t="s">
        <v>107</v>
      </c>
      <c r="J3" s="77" t="s">
        <v>108</v>
      </c>
      <c r="K3" s="77" t="s">
        <v>109</v>
      </c>
      <c r="L3" s="77" t="s">
        <v>109</v>
      </c>
      <c r="M3" s="77" t="s">
        <v>346</v>
      </c>
      <c r="N3" s="83" t="s">
        <v>347</v>
      </c>
      <c r="O3" s="77" t="s">
        <v>110</v>
      </c>
    </row>
    <row r="4" spans="1:19" x14ac:dyDescent="0.2">
      <c r="A4" s="12"/>
      <c r="B4" s="83" t="s">
        <v>112</v>
      </c>
      <c r="C4" s="83" t="s">
        <v>113</v>
      </c>
      <c r="D4" s="83" t="s">
        <v>113</v>
      </c>
      <c r="E4" s="77"/>
      <c r="F4" s="83" t="s">
        <v>114</v>
      </c>
      <c r="G4" s="83" t="s">
        <v>115</v>
      </c>
      <c r="H4" s="77" t="s">
        <v>116</v>
      </c>
      <c r="I4" s="77" t="s">
        <v>116</v>
      </c>
      <c r="J4" s="77" t="s">
        <v>117</v>
      </c>
      <c r="K4" s="77" t="s">
        <v>118</v>
      </c>
      <c r="L4" s="77" t="s">
        <v>119</v>
      </c>
      <c r="M4" s="77" t="s">
        <v>124</v>
      </c>
      <c r="N4" s="83" t="s">
        <v>116</v>
      </c>
      <c r="O4" s="77" t="s">
        <v>338</v>
      </c>
    </row>
    <row r="5" spans="1:19" x14ac:dyDescent="0.2">
      <c r="A5" s="8"/>
      <c r="B5" s="90" t="s">
        <v>113</v>
      </c>
      <c r="C5" s="28"/>
      <c r="D5" s="28"/>
      <c r="E5" s="28"/>
      <c r="F5" s="90" t="s">
        <v>120</v>
      </c>
      <c r="G5" s="28"/>
      <c r="H5" s="28"/>
      <c r="I5" s="28"/>
      <c r="J5" s="28" t="s">
        <v>121</v>
      </c>
      <c r="K5" s="28" t="s">
        <v>122</v>
      </c>
      <c r="L5" s="28" t="s">
        <v>123</v>
      </c>
      <c r="M5" s="28"/>
      <c r="N5" s="90"/>
      <c r="O5" s="28"/>
    </row>
    <row r="6" spans="1:19" x14ac:dyDescent="0.2">
      <c r="B6" s="31"/>
      <c r="C6" s="31"/>
      <c r="D6" s="31"/>
      <c r="E6" s="31"/>
      <c r="F6" s="31"/>
      <c r="G6" s="31"/>
      <c r="H6" s="31"/>
      <c r="I6" s="31"/>
      <c r="J6" s="31"/>
      <c r="K6" s="31"/>
      <c r="L6" s="31"/>
      <c r="M6" s="31"/>
      <c r="N6" s="31"/>
      <c r="O6" s="31"/>
    </row>
    <row r="7" spans="1:19" x14ac:dyDescent="0.2">
      <c r="A7" s="35">
        <v>1949</v>
      </c>
      <c r="B7" s="91">
        <v>605.79999999999995</v>
      </c>
      <c r="C7" s="91">
        <v>639.54999999999995</v>
      </c>
      <c r="D7" s="91">
        <v>222.3</v>
      </c>
      <c r="E7" s="91">
        <v>713.25</v>
      </c>
      <c r="F7" s="91">
        <v>442.85</v>
      </c>
      <c r="G7" s="91">
        <v>200.75</v>
      </c>
      <c r="H7" s="91">
        <v>36.85</v>
      </c>
      <c r="I7" s="92">
        <f t="shared" ref="I7:I47" si="0">SUM(B7:H7)</f>
        <v>2861.3499999999995</v>
      </c>
      <c r="J7" s="91">
        <v>27.35</v>
      </c>
      <c r="K7" s="91">
        <v>2690.25</v>
      </c>
      <c r="L7" s="91">
        <v>1185.5</v>
      </c>
      <c r="M7" s="91">
        <v>81.95</v>
      </c>
      <c r="N7" s="92">
        <f t="shared" ref="N7:N47" si="1">SUM(J7:M7)</f>
        <v>3985.0499999999997</v>
      </c>
      <c r="O7" s="92">
        <f t="shared" ref="O7:O70" si="2">I7+N7</f>
        <v>6846.4</v>
      </c>
      <c r="S7" s="93"/>
    </row>
    <row r="8" spans="1:19" x14ac:dyDescent="0.2">
      <c r="A8" s="35">
        <f>A7+1</f>
        <v>1950</v>
      </c>
      <c r="B8" s="91">
        <v>636.20000000000005</v>
      </c>
      <c r="C8" s="91">
        <v>695.95</v>
      </c>
      <c r="D8" s="91">
        <v>253.7</v>
      </c>
      <c r="E8" s="91">
        <v>752.35</v>
      </c>
      <c r="F8" s="91">
        <v>550.5</v>
      </c>
      <c r="G8" s="91">
        <v>249.65</v>
      </c>
      <c r="H8" s="91">
        <v>39</v>
      </c>
      <c r="I8" s="92">
        <f t="shared" si="0"/>
        <v>3177.3500000000004</v>
      </c>
      <c r="J8" s="91">
        <v>27.7</v>
      </c>
      <c r="K8" s="91">
        <v>3038.75</v>
      </c>
      <c r="L8" s="91">
        <v>1172.05</v>
      </c>
      <c r="M8" s="91">
        <v>87.95</v>
      </c>
      <c r="N8" s="92">
        <f t="shared" si="1"/>
        <v>4326.45</v>
      </c>
      <c r="O8" s="92">
        <f t="shared" si="2"/>
        <v>7503.8</v>
      </c>
      <c r="S8" s="93"/>
    </row>
    <row r="9" spans="1:19" x14ac:dyDescent="0.2">
      <c r="A9" s="35">
        <f t="shared" ref="A9:A27" si="3">A8+1</f>
        <v>1951</v>
      </c>
      <c r="B9" s="91">
        <v>622.20000000000005</v>
      </c>
      <c r="C9" s="91">
        <v>622.5</v>
      </c>
      <c r="D9" s="91">
        <v>257</v>
      </c>
      <c r="E9" s="91">
        <v>720.2</v>
      </c>
      <c r="F9" s="91">
        <v>558.25</v>
      </c>
      <c r="G9" s="91">
        <v>246.3</v>
      </c>
      <c r="H9" s="91">
        <v>39.700000000000003</v>
      </c>
      <c r="I9" s="92">
        <f t="shared" si="0"/>
        <v>3066.15</v>
      </c>
      <c r="J9" s="91">
        <v>28.8</v>
      </c>
      <c r="K9" s="91">
        <v>2710.9</v>
      </c>
      <c r="L9" s="91">
        <v>1025.75</v>
      </c>
      <c r="M9" s="91">
        <v>112.35</v>
      </c>
      <c r="N9" s="92">
        <f t="shared" si="1"/>
        <v>3877.8</v>
      </c>
      <c r="O9" s="92">
        <f t="shared" si="2"/>
        <v>6943.9500000000007</v>
      </c>
      <c r="S9" s="93"/>
    </row>
    <row r="10" spans="1:19" x14ac:dyDescent="0.2">
      <c r="A10" s="35">
        <f t="shared" si="3"/>
        <v>1952</v>
      </c>
      <c r="B10" s="91">
        <v>680.85</v>
      </c>
      <c r="C10" s="91">
        <v>646.65</v>
      </c>
      <c r="D10" s="91">
        <v>277.05</v>
      </c>
      <c r="E10" s="91">
        <v>768.25</v>
      </c>
      <c r="F10" s="91">
        <v>547.79999999999995</v>
      </c>
      <c r="G10" s="91">
        <v>261.5</v>
      </c>
      <c r="H10" s="91">
        <v>45.75</v>
      </c>
      <c r="I10" s="92">
        <f t="shared" si="0"/>
        <v>3227.8500000000004</v>
      </c>
      <c r="J10" s="91">
        <v>26.05</v>
      </c>
      <c r="K10" s="91">
        <v>2850.3</v>
      </c>
      <c r="L10" s="91">
        <v>1073.05</v>
      </c>
      <c r="M10" s="91">
        <v>132.55000000000001</v>
      </c>
      <c r="N10" s="92">
        <f t="shared" si="1"/>
        <v>4081.9500000000007</v>
      </c>
      <c r="O10" s="92">
        <f t="shared" si="2"/>
        <v>7309.8000000000011</v>
      </c>
      <c r="S10" s="93"/>
    </row>
    <row r="11" spans="1:19" x14ac:dyDescent="0.2">
      <c r="A11" s="35">
        <f t="shared" si="3"/>
        <v>1953</v>
      </c>
      <c r="B11" s="91">
        <v>782.55</v>
      </c>
      <c r="C11" s="91">
        <v>697.7</v>
      </c>
      <c r="D11" s="91">
        <v>281.10000000000002</v>
      </c>
      <c r="E11" s="91">
        <v>813</v>
      </c>
      <c r="F11" s="91">
        <v>616.15</v>
      </c>
      <c r="G11" s="91">
        <v>297.95</v>
      </c>
      <c r="H11" s="91">
        <v>45.9</v>
      </c>
      <c r="I11" s="92">
        <f t="shared" si="0"/>
        <v>3534.35</v>
      </c>
      <c r="J11" s="91">
        <v>28.75</v>
      </c>
      <c r="K11" s="91">
        <v>2808.65</v>
      </c>
      <c r="L11" s="91">
        <v>1099.1500000000001</v>
      </c>
      <c r="M11" s="91">
        <v>135.94999999999999</v>
      </c>
      <c r="N11" s="92">
        <f t="shared" si="1"/>
        <v>4072.5</v>
      </c>
      <c r="O11" s="92">
        <f t="shared" si="2"/>
        <v>7606.85</v>
      </c>
      <c r="S11" s="93"/>
    </row>
    <row r="12" spans="1:19" x14ac:dyDescent="0.2">
      <c r="A12" s="35">
        <f t="shared" si="3"/>
        <v>1954</v>
      </c>
      <c r="B12" s="91">
        <v>791.75</v>
      </c>
      <c r="C12" s="91">
        <v>613.29999999999995</v>
      </c>
      <c r="D12" s="91">
        <v>293.10000000000002</v>
      </c>
      <c r="E12" s="91">
        <v>815.3</v>
      </c>
      <c r="F12" s="91">
        <v>622.15</v>
      </c>
      <c r="G12" s="91">
        <v>266.39999999999998</v>
      </c>
      <c r="H12" s="91">
        <v>51.55</v>
      </c>
      <c r="I12" s="92">
        <f t="shared" si="0"/>
        <v>3453.55</v>
      </c>
      <c r="J12" s="91">
        <v>26.45</v>
      </c>
      <c r="K12" s="91">
        <v>2730.95</v>
      </c>
      <c r="L12" s="91">
        <v>1128</v>
      </c>
      <c r="M12" s="91">
        <v>98.25</v>
      </c>
      <c r="N12" s="92">
        <f t="shared" si="1"/>
        <v>3983.6499999999996</v>
      </c>
      <c r="O12" s="92">
        <f t="shared" si="2"/>
        <v>7437.2</v>
      </c>
      <c r="S12" s="93"/>
    </row>
    <row r="13" spans="1:19" x14ac:dyDescent="0.2">
      <c r="A13" s="35">
        <f t="shared" si="3"/>
        <v>1955</v>
      </c>
      <c r="B13" s="91">
        <v>877.5</v>
      </c>
      <c r="C13" s="91">
        <v>658.35</v>
      </c>
      <c r="D13" s="91">
        <v>298.45</v>
      </c>
      <c r="E13" s="91">
        <v>884.95</v>
      </c>
      <c r="F13" s="91">
        <v>651.79999999999995</v>
      </c>
      <c r="G13" s="91">
        <v>276.2</v>
      </c>
      <c r="H13" s="91">
        <v>51.95</v>
      </c>
      <c r="I13" s="92">
        <f t="shared" si="0"/>
        <v>3699.2</v>
      </c>
      <c r="J13" s="91">
        <v>35.700000000000003</v>
      </c>
      <c r="K13" s="91">
        <v>2758.65</v>
      </c>
      <c r="L13" s="91">
        <v>1112.45</v>
      </c>
      <c r="M13" s="91">
        <v>73.900000000000006</v>
      </c>
      <c r="N13" s="92">
        <f t="shared" si="1"/>
        <v>3980.7000000000003</v>
      </c>
      <c r="O13" s="92">
        <f t="shared" si="2"/>
        <v>7679.9</v>
      </c>
      <c r="S13" s="93"/>
    </row>
    <row r="14" spans="1:19" x14ac:dyDescent="0.2">
      <c r="A14" s="35">
        <f t="shared" si="3"/>
        <v>1956</v>
      </c>
      <c r="B14" s="91">
        <v>899.85</v>
      </c>
      <c r="C14" s="91">
        <v>738.5</v>
      </c>
      <c r="D14" s="91">
        <v>320.8</v>
      </c>
      <c r="E14" s="91">
        <v>931.1</v>
      </c>
      <c r="F14" s="91">
        <v>738.95</v>
      </c>
      <c r="G14" s="91">
        <v>303.39999999999998</v>
      </c>
      <c r="H14" s="91">
        <v>51.15</v>
      </c>
      <c r="I14" s="92">
        <f t="shared" si="0"/>
        <v>3983.75</v>
      </c>
      <c r="J14" s="91">
        <v>40.700000000000003</v>
      </c>
      <c r="K14" s="91">
        <v>2807.2</v>
      </c>
      <c r="L14" s="91">
        <v>1133.5</v>
      </c>
      <c r="M14" s="91">
        <v>100.9</v>
      </c>
      <c r="N14" s="92">
        <f t="shared" si="1"/>
        <v>4082.2999999999997</v>
      </c>
      <c r="O14" s="92">
        <f t="shared" si="2"/>
        <v>8066.0499999999993</v>
      </c>
      <c r="S14" s="93"/>
    </row>
    <row r="15" spans="1:19" x14ac:dyDescent="0.2">
      <c r="A15" s="35">
        <f t="shared" si="3"/>
        <v>1957</v>
      </c>
      <c r="B15" s="91">
        <v>930.6</v>
      </c>
      <c r="C15" s="91">
        <v>766.15</v>
      </c>
      <c r="D15" s="91">
        <v>329.55</v>
      </c>
      <c r="E15" s="91">
        <v>944.85</v>
      </c>
      <c r="F15" s="91">
        <v>737.1</v>
      </c>
      <c r="G15" s="91">
        <v>297.55</v>
      </c>
      <c r="H15" s="91">
        <v>56.05</v>
      </c>
      <c r="I15" s="92">
        <f t="shared" si="0"/>
        <v>4061.8500000000004</v>
      </c>
      <c r="J15" s="91">
        <v>42.45</v>
      </c>
      <c r="K15" s="91">
        <v>2635.65</v>
      </c>
      <c r="L15" s="91">
        <v>1116.1500000000001</v>
      </c>
      <c r="M15" s="91">
        <v>94.15</v>
      </c>
      <c r="N15" s="92">
        <f t="shared" si="1"/>
        <v>3888.4</v>
      </c>
      <c r="O15" s="92">
        <f t="shared" si="2"/>
        <v>7950.25</v>
      </c>
      <c r="S15" s="93"/>
    </row>
    <row r="16" spans="1:19" x14ac:dyDescent="0.2">
      <c r="A16" s="35">
        <f t="shared" si="3"/>
        <v>1958</v>
      </c>
      <c r="B16" s="91">
        <v>948.65</v>
      </c>
      <c r="C16" s="91">
        <v>726.85</v>
      </c>
      <c r="D16" s="91">
        <v>343.6</v>
      </c>
      <c r="E16" s="91">
        <v>953.45</v>
      </c>
      <c r="F16" s="91">
        <v>751.2</v>
      </c>
      <c r="G16" s="91">
        <v>307.45</v>
      </c>
      <c r="H16" s="91">
        <v>57.05</v>
      </c>
      <c r="I16" s="92">
        <f t="shared" si="0"/>
        <v>4088.25</v>
      </c>
      <c r="J16" s="91">
        <v>48.6</v>
      </c>
      <c r="K16" s="91">
        <v>2786.2</v>
      </c>
      <c r="L16" s="91">
        <v>1202.3</v>
      </c>
      <c r="M16" s="91">
        <v>85.1</v>
      </c>
      <c r="N16" s="92">
        <f t="shared" si="1"/>
        <v>4122.2</v>
      </c>
      <c r="O16" s="92">
        <f t="shared" si="2"/>
        <v>8210.4500000000007</v>
      </c>
      <c r="S16" s="93"/>
    </row>
    <row r="17" spans="1:19" x14ac:dyDescent="0.2">
      <c r="A17" s="35">
        <f t="shared" si="3"/>
        <v>1959</v>
      </c>
      <c r="B17" s="91">
        <v>960.4</v>
      </c>
      <c r="C17" s="91">
        <v>733.6</v>
      </c>
      <c r="D17" s="91">
        <v>369.95</v>
      </c>
      <c r="E17" s="91">
        <v>1113.7</v>
      </c>
      <c r="F17" s="91">
        <v>797.55</v>
      </c>
      <c r="G17" s="91">
        <v>319.45</v>
      </c>
      <c r="H17" s="91">
        <v>53.65</v>
      </c>
      <c r="I17" s="92">
        <f t="shared" si="0"/>
        <v>4348.2999999999993</v>
      </c>
      <c r="J17" s="91">
        <v>59.05</v>
      </c>
      <c r="K17" s="91">
        <v>2630.7</v>
      </c>
      <c r="L17" s="91">
        <v>1216.5</v>
      </c>
      <c r="M17" s="91">
        <v>81.25</v>
      </c>
      <c r="N17" s="92">
        <f t="shared" si="1"/>
        <v>3987.5</v>
      </c>
      <c r="O17" s="92">
        <f t="shared" si="2"/>
        <v>8335.7999999999993</v>
      </c>
      <c r="S17" s="93"/>
    </row>
    <row r="18" spans="1:19" x14ac:dyDescent="0.2">
      <c r="A18" s="35">
        <f t="shared" si="3"/>
        <v>1960</v>
      </c>
      <c r="B18" s="91">
        <v>1047.7</v>
      </c>
      <c r="C18" s="91">
        <v>803.85</v>
      </c>
      <c r="D18" s="91">
        <v>365.65</v>
      </c>
      <c r="E18" s="91">
        <v>1148.5</v>
      </c>
      <c r="F18" s="91">
        <v>790.4</v>
      </c>
      <c r="G18" s="91">
        <v>296.89999999999998</v>
      </c>
      <c r="H18" s="91">
        <v>64.599999999999994</v>
      </c>
      <c r="I18" s="92">
        <f t="shared" si="0"/>
        <v>4517.6000000000004</v>
      </c>
      <c r="J18" s="91">
        <v>65.349999999999994</v>
      </c>
      <c r="K18" s="91">
        <v>2529.5500000000002</v>
      </c>
      <c r="L18" s="91">
        <v>1222.7</v>
      </c>
      <c r="M18" s="91">
        <v>87.75</v>
      </c>
      <c r="N18" s="92">
        <f t="shared" si="1"/>
        <v>3905.3500000000004</v>
      </c>
      <c r="O18" s="92">
        <f t="shared" si="2"/>
        <v>8422.9500000000007</v>
      </c>
      <c r="S18" s="93"/>
    </row>
    <row r="19" spans="1:19" x14ac:dyDescent="0.2">
      <c r="A19" s="35">
        <f t="shared" si="3"/>
        <v>1961</v>
      </c>
      <c r="B19" s="91">
        <v>1077.3499999999999</v>
      </c>
      <c r="C19" s="91">
        <v>842.3</v>
      </c>
      <c r="D19" s="91">
        <v>394.85</v>
      </c>
      <c r="E19" s="91">
        <v>1210.0999999999999</v>
      </c>
      <c r="F19" s="91">
        <v>855.35</v>
      </c>
      <c r="G19" s="91">
        <v>262.55</v>
      </c>
      <c r="H19" s="91">
        <v>79.25</v>
      </c>
      <c r="I19" s="92">
        <f t="shared" si="0"/>
        <v>4721.75</v>
      </c>
      <c r="J19" s="91">
        <v>68.25</v>
      </c>
      <c r="K19" s="91">
        <v>2561.65</v>
      </c>
      <c r="L19" s="91">
        <v>1318.25</v>
      </c>
      <c r="M19" s="91">
        <v>105</v>
      </c>
      <c r="N19" s="92">
        <f t="shared" si="1"/>
        <v>4053.15</v>
      </c>
      <c r="O19" s="92">
        <f t="shared" si="2"/>
        <v>8774.9</v>
      </c>
      <c r="S19" s="93"/>
    </row>
    <row r="20" spans="1:19" x14ac:dyDescent="0.2">
      <c r="A20" s="35">
        <f t="shared" si="3"/>
        <v>1962</v>
      </c>
      <c r="B20" s="91">
        <v>1120.55</v>
      </c>
      <c r="C20" s="91">
        <v>862.6</v>
      </c>
      <c r="D20" s="91">
        <v>397.85</v>
      </c>
      <c r="E20" s="91">
        <v>1321.6</v>
      </c>
      <c r="F20" s="91">
        <v>846.5</v>
      </c>
      <c r="G20" s="91">
        <v>267.45</v>
      </c>
      <c r="H20" s="91">
        <v>79.05</v>
      </c>
      <c r="I20" s="92">
        <f t="shared" si="0"/>
        <v>4895.6000000000004</v>
      </c>
      <c r="J20" s="91">
        <v>65.05</v>
      </c>
      <c r="K20" s="91">
        <v>2541.75</v>
      </c>
      <c r="L20" s="91">
        <v>1272.9000000000001</v>
      </c>
      <c r="M20" s="91">
        <v>105.85</v>
      </c>
      <c r="N20" s="92">
        <f t="shared" si="1"/>
        <v>3985.55</v>
      </c>
      <c r="O20" s="92">
        <f t="shared" si="2"/>
        <v>8881.1500000000015</v>
      </c>
      <c r="S20" s="93"/>
    </row>
    <row r="21" spans="1:19" x14ac:dyDescent="0.2">
      <c r="A21" s="35">
        <f t="shared" si="3"/>
        <v>1963</v>
      </c>
      <c r="B21" s="91">
        <v>1170.5</v>
      </c>
      <c r="C21" s="91">
        <v>893.6</v>
      </c>
      <c r="D21" s="91">
        <v>436</v>
      </c>
      <c r="E21" s="91">
        <v>1435.15</v>
      </c>
      <c r="F21" s="91">
        <v>863.45</v>
      </c>
      <c r="G21" s="91">
        <v>262.75</v>
      </c>
      <c r="H21" s="91">
        <v>69.2</v>
      </c>
      <c r="I21" s="92">
        <f t="shared" si="0"/>
        <v>5130.6499999999996</v>
      </c>
      <c r="J21" s="91">
        <v>66.05</v>
      </c>
      <c r="K21" s="91">
        <v>2533.9499999999998</v>
      </c>
      <c r="L21" s="91">
        <v>1263.6500000000001</v>
      </c>
      <c r="M21" s="91">
        <v>143.15</v>
      </c>
      <c r="N21" s="92">
        <f t="shared" si="1"/>
        <v>4006.8</v>
      </c>
      <c r="O21" s="92">
        <f t="shared" si="2"/>
        <v>9137.4500000000007</v>
      </c>
      <c r="S21" s="93"/>
    </row>
    <row r="22" spans="1:19" x14ac:dyDescent="0.2">
      <c r="A22" s="35">
        <f t="shared" si="3"/>
        <v>1964</v>
      </c>
      <c r="B22" s="91">
        <v>1081.7</v>
      </c>
      <c r="C22" s="91">
        <v>865</v>
      </c>
      <c r="D22" s="91">
        <v>438.15</v>
      </c>
      <c r="E22" s="91">
        <v>1400.5</v>
      </c>
      <c r="F22" s="91">
        <v>853.3</v>
      </c>
      <c r="G22" s="91">
        <v>358.55</v>
      </c>
      <c r="H22" s="91">
        <v>61.2</v>
      </c>
      <c r="I22" s="92">
        <f t="shared" si="0"/>
        <v>5058.3999999999996</v>
      </c>
      <c r="J22" s="91">
        <v>69.099999999999994</v>
      </c>
      <c r="K22" s="91">
        <v>2371.9</v>
      </c>
      <c r="L22" s="91">
        <v>1205.55</v>
      </c>
      <c r="M22" s="91">
        <v>134.25</v>
      </c>
      <c r="N22" s="92">
        <f t="shared" si="1"/>
        <v>3780.8</v>
      </c>
      <c r="O22" s="92">
        <f t="shared" si="2"/>
        <v>8839.2000000000007</v>
      </c>
      <c r="S22" s="93"/>
    </row>
    <row r="23" spans="1:19" x14ac:dyDescent="0.2">
      <c r="A23" s="35">
        <f t="shared" si="3"/>
        <v>1965</v>
      </c>
      <c r="B23" s="91">
        <v>1156.0999999999999</v>
      </c>
      <c r="C23" s="91">
        <v>958.8</v>
      </c>
      <c r="D23" s="91">
        <v>451.75</v>
      </c>
      <c r="E23" s="91">
        <v>1559.5</v>
      </c>
      <c r="F23" s="91">
        <v>838</v>
      </c>
      <c r="G23" s="91">
        <v>451.2</v>
      </c>
      <c r="H23" s="91">
        <v>55.9</v>
      </c>
      <c r="I23" s="92">
        <f t="shared" si="0"/>
        <v>5471.2499999999991</v>
      </c>
      <c r="J23" s="91">
        <v>72.400000000000006</v>
      </c>
      <c r="K23" s="91">
        <v>2302.4499999999998</v>
      </c>
      <c r="L23" s="91">
        <v>1192</v>
      </c>
      <c r="M23" s="91">
        <v>145.35</v>
      </c>
      <c r="N23" s="92">
        <f t="shared" si="1"/>
        <v>3712.2</v>
      </c>
      <c r="O23" s="92">
        <f t="shared" si="2"/>
        <v>9183.4499999999989</v>
      </c>
      <c r="S23" s="93"/>
    </row>
    <row r="24" spans="1:19" x14ac:dyDescent="0.2">
      <c r="A24" s="35">
        <f t="shared" si="3"/>
        <v>1966</v>
      </c>
      <c r="B24" s="91">
        <v>1234.5</v>
      </c>
      <c r="C24" s="91">
        <v>1000.1</v>
      </c>
      <c r="D24" s="91">
        <v>483.35</v>
      </c>
      <c r="E24" s="91">
        <v>1739.85</v>
      </c>
      <c r="F24" s="91">
        <v>877.55</v>
      </c>
      <c r="G24" s="91">
        <v>441.3</v>
      </c>
      <c r="H24" s="91">
        <v>75.150000000000006</v>
      </c>
      <c r="I24" s="92">
        <f t="shared" si="0"/>
        <v>5851.7999999999993</v>
      </c>
      <c r="J24" s="91">
        <v>76.05</v>
      </c>
      <c r="K24" s="91">
        <v>2284.4</v>
      </c>
      <c r="L24" s="91">
        <v>1200.6500000000001</v>
      </c>
      <c r="M24" s="91">
        <v>110.65</v>
      </c>
      <c r="N24" s="92">
        <f t="shared" si="1"/>
        <v>3671.7500000000005</v>
      </c>
      <c r="O24" s="92">
        <f t="shared" si="2"/>
        <v>9523.5499999999993</v>
      </c>
      <c r="S24" s="93"/>
    </row>
    <row r="25" spans="1:19" x14ac:dyDescent="0.2">
      <c r="A25" s="35">
        <f t="shared" si="3"/>
        <v>1967</v>
      </c>
      <c r="B25" s="91">
        <v>1285.8499999999999</v>
      </c>
      <c r="C25" s="91">
        <v>1004.3</v>
      </c>
      <c r="D25" s="91">
        <v>485.65</v>
      </c>
      <c r="E25" s="91">
        <v>1785.2</v>
      </c>
      <c r="F25" s="91">
        <v>842.8</v>
      </c>
      <c r="G25" s="91">
        <v>424.5</v>
      </c>
      <c r="H25" s="91">
        <v>65.75</v>
      </c>
      <c r="I25" s="92">
        <f t="shared" si="0"/>
        <v>5894.05</v>
      </c>
      <c r="J25" s="91">
        <v>82</v>
      </c>
      <c r="K25" s="91">
        <v>2176.25</v>
      </c>
      <c r="L25" s="91">
        <v>1188</v>
      </c>
      <c r="M25" s="91">
        <v>147.4</v>
      </c>
      <c r="N25" s="92">
        <f t="shared" si="1"/>
        <v>3593.65</v>
      </c>
      <c r="O25" s="92">
        <f t="shared" si="2"/>
        <v>9487.7000000000007</v>
      </c>
      <c r="S25" s="93"/>
    </row>
    <row r="26" spans="1:19" x14ac:dyDescent="0.2">
      <c r="A26" s="35">
        <f t="shared" si="3"/>
        <v>1968</v>
      </c>
      <c r="B26" s="91">
        <v>1396.25</v>
      </c>
      <c r="C26" s="91">
        <v>1085.1500000000001</v>
      </c>
      <c r="D26" s="91">
        <v>515.54999999999995</v>
      </c>
      <c r="E26" s="91">
        <v>2024.65</v>
      </c>
      <c r="F26" s="91">
        <v>922.75</v>
      </c>
      <c r="G26" s="91">
        <v>470.65</v>
      </c>
      <c r="H26" s="91">
        <v>71.75</v>
      </c>
      <c r="I26" s="92">
        <f t="shared" si="0"/>
        <v>6486.75</v>
      </c>
      <c r="J26" s="91">
        <v>85.55</v>
      </c>
      <c r="K26" s="91">
        <v>2207.5500000000002</v>
      </c>
      <c r="L26" s="91">
        <v>1224.5</v>
      </c>
      <c r="M26" s="91">
        <v>101.65</v>
      </c>
      <c r="N26" s="92">
        <f t="shared" si="1"/>
        <v>3619.2500000000005</v>
      </c>
      <c r="O26" s="92">
        <f t="shared" si="2"/>
        <v>10106</v>
      </c>
      <c r="S26" s="93"/>
    </row>
    <row r="27" spans="1:19" x14ac:dyDescent="0.2">
      <c r="A27" s="35">
        <f t="shared" si="3"/>
        <v>1969</v>
      </c>
      <c r="B27" s="91">
        <v>1344</v>
      </c>
      <c r="C27" s="91">
        <v>1037.2</v>
      </c>
      <c r="D27" s="91">
        <v>527.9</v>
      </c>
      <c r="E27" s="91">
        <v>2099.0500000000002</v>
      </c>
      <c r="F27" s="91">
        <v>916.2</v>
      </c>
      <c r="G27" s="91">
        <v>441.55</v>
      </c>
      <c r="H27" s="91">
        <v>72.099999999999994</v>
      </c>
      <c r="I27" s="92">
        <f t="shared" si="0"/>
        <v>6438</v>
      </c>
      <c r="J27" s="91">
        <v>92.3</v>
      </c>
      <c r="K27" s="91">
        <v>2061.25</v>
      </c>
      <c r="L27" s="91">
        <v>1193.2</v>
      </c>
      <c r="M27" s="91">
        <v>98.85</v>
      </c>
      <c r="N27" s="92">
        <f t="shared" si="1"/>
        <v>3445.6</v>
      </c>
      <c r="O27" s="92">
        <f t="shared" si="2"/>
        <v>9883.6</v>
      </c>
      <c r="S27" s="93"/>
    </row>
    <row r="28" spans="1:19" x14ac:dyDescent="0.2">
      <c r="A28" s="86">
        <v>1970</v>
      </c>
      <c r="B28" s="91">
        <v>1419.85</v>
      </c>
      <c r="C28" s="91">
        <v>1097.55</v>
      </c>
      <c r="D28" s="91">
        <v>537.29999999999995</v>
      </c>
      <c r="E28" s="91">
        <v>2356.4</v>
      </c>
      <c r="F28" s="91">
        <v>968.5</v>
      </c>
      <c r="G28" s="91">
        <v>432.75</v>
      </c>
      <c r="H28" s="91">
        <v>83.75</v>
      </c>
      <c r="I28" s="92">
        <f t="shared" si="0"/>
        <v>6896.1</v>
      </c>
      <c r="J28" s="91">
        <v>90.05</v>
      </c>
      <c r="K28" s="91">
        <v>2206.1999999999998</v>
      </c>
      <c r="L28" s="91">
        <v>1329.95</v>
      </c>
      <c r="M28" s="91">
        <v>99</v>
      </c>
      <c r="N28" s="92">
        <f t="shared" si="1"/>
        <v>3725.2</v>
      </c>
      <c r="O28" s="92">
        <f t="shared" si="2"/>
        <v>10621.3</v>
      </c>
      <c r="S28" s="93"/>
    </row>
    <row r="29" spans="1:19" x14ac:dyDescent="0.2">
      <c r="A29" s="86">
        <v>1971</v>
      </c>
      <c r="B29" s="91">
        <v>1361.1</v>
      </c>
      <c r="C29" s="91">
        <v>1056.5</v>
      </c>
      <c r="D29" s="91">
        <v>561.20000000000005</v>
      </c>
      <c r="E29" s="91">
        <v>2364.85</v>
      </c>
      <c r="F29" s="91">
        <v>1027.1500000000001</v>
      </c>
      <c r="G29" s="91">
        <v>493</v>
      </c>
      <c r="H29" s="91">
        <v>92.75</v>
      </c>
      <c r="I29" s="92">
        <f t="shared" si="0"/>
        <v>6956.5499999999993</v>
      </c>
      <c r="J29" s="91">
        <v>79.400000000000006</v>
      </c>
      <c r="K29" s="91">
        <v>2155.8000000000002</v>
      </c>
      <c r="L29" s="91">
        <v>1324.1</v>
      </c>
      <c r="M29" s="91">
        <v>94.65</v>
      </c>
      <c r="N29" s="92">
        <f t="shared" si="1"/>
        <v>3653.9500000000003</v>
      </c>
      <c r="O29" s="92">
        <f t="shared" si="2"/>
        <v>10610.5</v>
      </c>
      <c r="S29" s="93"/>
    </row>
    <row r="30" spans="1:19" x14ac:dyDescent="0.2">
      <c r="A30" s="86">
        <v>1972</v>
      </c>
      <c r="B30" s="91">
        <v>1449</v>
      </c>
      <c r="C30" s="91">
        <v>1057</v>
      </c>
      <c r="D30" s="91">
        <v>599</v>
      </c>
      <c r="E30" s="91">
        <v>2437</v>
      </c>
      <c r="F30" s="91">
        <v>987</v>
      </c>
      <c r="G30" s="91">
        <v>508</v>
      </c>
      <c r="H30" s="91">
        <v>91</v>
      </c>
      <c r="I30" s="92">
        <f t="shared" si="0"/>
        <v>7128</v>
      </c>
      <c r="J30" s="91">
        <v>85</v>
      </c>
      <c r="K30" s="91">
        <v>2103</v>
      </c>
      <c r="L30" s="91">
        <v>1316</v>
      </c>
      <c r="M30" s="91">
        <v>88</v>
      </c>
      <c r="N30" s="92">
        <f t="shared" si="1"/>
        <v>3592</v>
      </c>
      <c r="O30" s="92">
        <f t="shared" si="2"/>
        <v>10720</v>
      </c>
      <c r="S30" s="93"/>
    </row>
    <row r="31" spans="1:19" x14ac:dyDescent="0.2">
      <c r="A31" s="86">
        <v>1973</v>
      </c>
      <c r="B31" s="91">
        <v>1454</v>
      </c>
      <c r="C31" s="91">
        <v>1035</v>
      </c>
      <c r="D31" s="91">
        <v>595</v>
      </c>
      <c r="E31" s="91">
        <v>2469</v>
      </c>
      <c r="F31" s="91">
        <v>1025</v>
      </c>
      <c r="G31" s="91">
        <v>502</v>
      </c>
      <c r="H31" s="91">
        <v>111</v>
      </c>
      <c r="I31" s="92">
        <f t="shared" si="0"/>
        <v>7191</v>
      </c>
      <c r="J31" s="91">
        <v>94</v>
      </c>
      <c r="K31" s="91">
        <v>2063</v>
      </c>
      <c r="L31" s="91">
        <v>1316</v>
      </c>
      <c r="M31" s="91">
        <v>106</v>
      </c>
      <c r="N31" s="92">
        <f t="shared" si="1"/>
        <v>3579</v>
      </c>
      <c r="O31" s="92">
        <f t="shared" si="2"/>
        <v>10770</v>
      </c>
      <c r="S31" s="93"/>
    </row>
    <row r="32" spans="1:19" x14ac:dyDescent="0.2">
      <c r="A32" s="86">
        <v>1974</v>
      </c>
      <c r="B32" s="91">
        <v>1443</v>
      </c>
      <c r="C32" s="91">
        <v>1019</v>
      </c>
      <c r="D32" s="91">
        <v>570</v>
      </c>
      <c r="E32" s="91">
        <v>2350</v>
      </c>
      <c r="F32" s="91">
        <v>949</v>
      </c>
      <c r="G32" s="91">
        <v>514</v>
      </c>
      <c r="H32" s="91">
        <v>128</v>
      </c>
      <c r="I32" s="92">
        <f t="shared" si="0"/>
        <v>6973</v>
      </c>
      <c r="J32" s="91">
        <v>91</v>
      </c>
      <c r="K32" s="91">
        <v>2002</v>
      </c>
      <c r="L32" s="91">
        <v>1354</v>
      </c>
      <c r="M32" s="91">
        <v>121</v>
      </c>
      <c r="N32" s="92">
        <f t="shared" si="1"/>
        <v>3568</v>
      </c>
      <c r="O32" s="92">
        <f t="shared" si="2"/>
        <v>10541</v>
      </c>
      <c r="S32" s="93"/>
    </row>
    <row r="33" spans="1:19" x14ac:dyDescent="0.2">
      <c r="A33" s="86">
        <v>1975</v>
      </c>
      <c r="B33" s="91">
        <v>1187.84015</v>
      </c>
      <c r="C33" s="91">
        <v>766.68149999999991</v>
      </c>
      <c r="D33" s="91">
        <v>487.75569999999999</v>
      </c>
      <c r="E33" s="91">
        <v>2019.4898500000002</v>
      </c>
      <c r="F33" s="91">
        <v>702.2645</v>
      </c>
      <c r="G33" s="91">
        <v>467.96965</v>
      </c>
      <c r="H33" s="91">
        <v>83.970950000000002</v>
      </c>
      <c r="I33" s="92">
        <f t="shared" si="0"/>
        <v>5715.9723000000004</v>
      </c>
      <c r="J33" s="91">
        <v>71.146699999999996</v>
      </c>
      <c r="K33" s="91">
        <v>1854.4403000000002</v>
      </c>
      <c r="L33" s="91">
        <v>1231.2961500000001</v>
      </c>
      <c r="M33" s="91">
        <v>82.007750000000016</v>
      </c>
      <c r="N33" s="92">
        <f t="shared" si="1"/>
        <v>3238.8909000000008</v>
      </c>
      <c r="O33" s="92">
        <f t="shared" si="2"/>
        <v>8954.8632000000016</v>
      </c>
      <c r="S33" s="93"/>
    </row>
    <row r="34" spans="1:19" x14ac:dyDescent="0.2">
      <c r="A34" s="86">
        <v>1976</v>
      </c>
      <c r="B34" s="91">
        <v>1228.54305</v>
      </c>
      <c r="C34" s="91">
        <v>866.60185000000001</v>
      </c>
      <c r="D34" s="91">
        <v>517.63115000000005</v>
      </c>
      <c r="E34" s="91">
        <v>2163.1731</v>
      </c>
      <c r="F34" s="91">
        <v>682.17804999999998</v>
      </c>
      <c r="G34" s="91">
        <v>489.66925000000003</v>
      </c>
      <c r="H34" s="91">
        <v>97.68365</v>
      </c>
      <c r="I34" s="92">
        <f t="shared" si="0"/>
        <v>6045.4801000000007</v>
      </c>
      <c r="J34" s="91">
        <v>63.768649999999994</v>
      </c>
      <c r="K34" s="91">
        <v>2034.18415</v>
      </c>
      <c r="L34" s="91">
        <v>1270.1831499999998</v>
      </c>
      <c r="M34" s="91">
        <v>129.76605000000001</v>
      </c>
      <c r="N34" s="92">
        <f t="shared" si="1"/>
        <v>3497.902</v>
      </c>
      <c r="O34" s="92">
        <f t="shared" si="2"/>
        <v>9543.3821000000007</v>
      </c>
      <c r="S34" s="93"/>
    </row>
    <row r="35" spans="1:19" x14ac:dyDescent="0.2">
      <c r="A35" s="86">
        <v>1977</v>
      </c>
      <c r="B35" s="91">
        <v>1317.7407499999999</v>
      </c>
      <c r="C35" s="91">
        <v>909.6348999999999</v>
      </c>
      <c r="D35" s="91">
        <v>541.85955000000001</v>
      </c>
      <c r="E35" s="91">
        <v>2369.4944500000001</v>
      </c>
      <c r="F35" s="91">
        <v>708.01719999999989</v>
      </c>
      <c r="G35" s="91">
        <v>520.29140000000007</v>
      </c>
      <c r="H35" s="91">
        <v>99.570900000000009</v>
      </c>
      <c r="I35" s="92">
        <f t="shared" si="0"/>
        <v>6466.6091500000002</v>
      </c>
      <c r="J35" s="91">
        <v>69.453550000000007</v>
      </c>
      <c r="K35" s="91">
        <v>2033.3852999999999</v>
      </c>
      <c r="L35" s="91">
        <v>1261.66785</v>
      </c>
      <c r="M35" s="91">
        <v>145.04060000000001</v>
      </c>
      <c r="N35" s="92">
        <f t="shared" si="1"/>
        <v>3509.5472999999997</v>
      </c>
      <c r="O35" s="92">
        <f t="shared" si="2"/>
        <v>9976.1564500000004</v>
      </c>
      <c r="S35" s="93"/>
    </row>
    <row r="36" spans="1:19" x14ac:dyDescent="0.2">
      <c r="A36" s="86">
        <v>1978</v>
      </c>
      <c r="B36" s="91">
        <v>1264.8354000000002</v>
      </c>
      <c r="C36" s="91">
        <v>894.74540000000002</v>
      </c>
      <c r="D36" s="91">
        <v>537.82040000000006</v>
      </c>
      <c r="E36" s="91">
        <v>2558.19</v>
      </c>
      <c r="F36" s="91">
        <v>672.20835000000011</v>
      </c>
      <c r="G36" s="91">
        <v>407.11905000000002</v>
      </c>
      <c r="H36" s="91">
        <v>158.33635000000001</v>
      </c>
      <c r="I36" s="92">
        <f t="shared" si="0"/>
        <v>6493.2549500000005</v>
      </c>
      <c r="J36" s="91">
        <v>103.9243</v>
      </c>
      <c r="K36" s="91">
        <v>1962.9654000000003</v>
      </c>
      <c r="L36" s="91">
        <v>1168.1375499999999</v>
      </c>
      <c r="M36" s="91">
        <v>123.70879999999998</v>
      </c>
      <c r="N36" s="92">
        <f t="shared" si="1"/>
        <v>3358.73605</v>
      </c>
      <c r="O36" s="92">
        <f t="shared" si="2"/>
        <v>9851.991</v>
      </c>
      <c r="S36" s="93"/>
    </row>
    <row r="37" spans="1:19" x14ac:dyDescent="0.2">
      <c r="A37" s="86">
        <v>1979</v>
      </c>
      <c r="B37" s="91">
        <v>1235.8857999999998</v>
      </c>
      <c r="C37" s="91">
        <v>881.04174999999998</v>
      </c>
      <c r="D37" s="91">
        <v>459.91475000000003</v>
      </c>
      <c r="E37" s="91">
        <v>2353.44355</v>
      </c>
      <c r="F37" s="91">
        <v>644.36085000000003</v>
      </c>
      <c r="G37" s="91">
        <v>464.69280000000003</v>
      </c>
      <c r="H37" s="91">
        <v>123.1358</v>
      </c>
      <c r="I37" s="92">
        <f t="shared" si="0"/>
        <v>6162.4753000000001</v>
      </c>
      <c r="J37" s="91">
        <v>101.8882</v>
      </c>
      <c r="K37" s="91">
        <v>1954.2015500000002</v>
      </c>
      <c r="L37" s="91">
        <v>1214.1927000000001</v>
      </c>
      <c r="M37" s="91">
        <v>167.91420000000002</v>
      </c>
      <c r="N37" s="92">
        <f t="shared" si="1"/>
        <v>3438.1966500000003</v>
      </c>
      <c r="O37" s="92">
        <f t="shared" si="2"/>
        <v>9600.6719499999999</v>
      </c>
      <c r="S37" s="93"/>
    </row>
    <row r="38" spans="1:19" x14ac:dyDescent="0.2">
      <c r="A38" s="86">
        <v>1980</v>
      </c>
      <c r="B38" s="91">
        <v>1283.7807499999999</v>
      </c>
      <c r="C38" s="91">
        <v>895.00370000000009</v>
      </c>
      <c r="D38" s="91">
        <v>436.4751</v>
      </c>
      <c r="E38" s="91">
        <v>2118.7774000000004</v>
      </c>
      <c r="F38" s="91">
        <v>515.55604999999991</v>
      </c>
      <c r="G38" s="91">
        <v>548.23715000000004</v>
      </c>
      <c r="H38" s="91">
        <v>116.89569999999999</v>
      </c>
      <c r="I38" s="92">
        <f t="shared" si="0"/>
        <v>5914.7258500000007</v>
      </c>
      <c r="J38" s="91">
        <v>95.665050000000008</v>
      </c>
      <c r="K38" s="91">
        <v>1840.9992999999999</v>
      </c>
      <c r="L38" s="91">
        <v>1150.4561000000001</v>
      </c>
      <c r="M38" s="91">
        <v>205.09175000000002</v>
      </c>
      <c r="N38" s="92">
        <f t="shared" si="1"/>
        <v>3292.2122000000004</v>
      </c>
      <c r="O38" s="92">
        <f t="shared" si="2"/>
        <v>9206.9380500000007</v>
      </c>
      <c r="S38" s="93"/>
    </row>
    <row r="39" spans="1:19" x14ac:dyDescent="0.2">
      <c r="A39" s="86">
        <v>1981</v>
      </c>
      <c r="B39" s="91">
        <v>1279.34735</v>
      </c>
      <c r="C39" s="91">
        <v>963.24935000000005</v>
      </c>
      <c r="D39" s="91">
        <v>450.9837</v>
      </c>
      <c r="E39" s="91">
        <v>1829.1930500000001</v>
      </c>
      <c r="F39" s="91">
        <v>474.00285000000002</v>
      </c>
      <c r="G39" s="91">
        <v>571.10700000000008</v>
      </c>
      <c r="H39" s="91">
        <v>125.36800000000001</v>
      </c>
      <c r="I39" s="92">
        <f t="shared" si="0"/>
        <v>5693.2512999999999</v>
      </c>
      <c r="J39" s="91">
        <v>89.569499999999991</v>
      </c>
      <c r="K39" s="91">
        <v>1979.9857</v>
      </c>
      <c r="L39" s="91">
        <v>1152.0450499999999</v>
      </c>
      <c r="M39" s="91">
        <v>166.98224999999999</v>
      </c>
      <c r="N39" s="92">
        <f t="shared" si="1"/>
        <v>3388.5824999999995</v>
      </c>
      <c r="O39" s="92">
        <f t="shared" si="2"/>
        <v>9081.8338000000003</v>
      </c>
      <c r="S39" s="93"/>
    </row>
    <row r="40" spans="1:19" x14ac:dyDescent="0.2">
      <c r="A40" s="86">
        <v>1982</v>
      </c>
      <c r="B40" s="91">
        <v>1296.20225</v>
      </c>
      <c r="C40" s="91">
        <v>939.36264999999992</v>
      </c>
      <c r="D40" s="91">
        <v>404.08384999999998</v>
      </c>
      <c r="E40" s="91">
        <v>1583.1069500000001</v>
      </c>
      <c r="F40" s="91">
        <v>449.95114999999998</v>
      </c>
      <c r="G40" s="91">
        <v>525.93380000000002</v>
      </c>
      <c r="H40" s="91">
        <v>106.00345000000002</v>
      </c>
      <c r="I40" s="92">
        <f t="shared" si="0"/>
        <v>5304.6440999999995</v>
      </c>
      <c r="J40" s="91">
        <v>85.078500000000005</v>
      </c>
      <c r="K40" s="91">
        <v>1951.1106000000002</v>
      </c>
      <c r="L40" s="91">
        <v>1085.9245000000001</v>
      </c>
      <c r="M40" s="91">
        <v>91.955399999999997</v>
      </c>
      <c r="N40" s="92">
        <f t="shared" si="1"/>
        <v>3214.0690000000004</v>
      </c>
      <c r="O40" s="92">
        <f t="shared" si="2"/>
        <v>8518.7131000000008</v>
      </c>
      <c r="S40" s="93"/>
    </row>
    <row r="41" spans="1:19" x14ac:dyDescent="0.2">
      <c r="A41" s="86">
        <v>1983</v>
      </c>
      <c r="B41" s="91">
        <v>1387.4213</v>
      </c>
      <c r="C41" s="91">
        <v>1087.1710500000002</v>
      </c>
      <c r="D41" s="91">
        <v>384.87259999999998</v>
      </c>
      <c r="E41" s="91">
        <v>1247.7877000000001</v>
      </c>
      <c r="F41" s="91">
        <v>453.95384999999999</v>
      </c>
      <c r="G41" s="91">
        <v>430.733</v>
      </c>
      <c r="H41" s="91">
        <v>131.05055000000002</v>
      </c>
      <c r="I41" s="92">
        <f t="shared" si="0"/>
        <v>5122.9900500000003</v>
      </c>
      <c r="J41" s="91">
        <v>94.348399999999998</v>
      </c>
      <c r="K41" s="91">
        <v>1712.63625</v>
      </c>
      <c r="L41" s="91">
        <v>1168.34385</v>
      </c>
      <c r="M41" s="91">
        <v>100.68650000000001</v>
      </c>
      <c r="N41" s="92">
        <f t="shared" si="1"/>
        <v>3076.0149999999999</v>
      </c>
      <c r="O41" s="92">
        <f t="shared" si="2"/>
        <v>8199.0050499999998</v>
      </c>
      <c r="S41" s="93"/>
    </row>
    <row r="42" spans="1:19" x14ac:dyDescent="0.2">
      <c r="A42" s="86">
        <v>1984</v>
      </c>
      <c r="B42" s="91">
        <v>1404.0964500000002</v>
      </c>
      <c r="C42" s="91">
        <v>1114.7353000000001</v>
      </c>
      <c r="D42" s="91">
        <v>407.57274999999998</v>
      </c>
      <c r="E42" s="91">
        <v>907.71640000000002</v>
      </c>
      <c r="F42" s="91">
        <v>432.72385000000003</v>
      </c>
      <c r="G42" s="91">
        <v>416.35790000000003</v>
      </c>
      <c r="H42" s="91">
        <v>126.56060000000001</v>
      </c>
      <c r="I42" s="92">
        <f t="shared" si="0"/>
        <v>4809.76325</v>
      </c>
      <c r="J42" s="91">
        <v>108.40270000000001</v>
      </c>
      <c r="K42" s="91">
        <v>1744.0906500000001</v>
      </c>
      <c r="L42" s="91">
        <v>1099.9513999999999</v>
      </c>
      <c r="M42" s="91">
        <v>100.7791</v>
      </c>
      <c r="N42" s="92">
        <f t="shared" si="1"/>
        <v>3053.2238500000003</v>
      </c>
      <c r="O42" s="92">
        <f t="shared" si="2"/>
        <v>7862.9871000000003</v>
      </c>
      <c r="S42" s="93"/>
    </row>
    <row r="43" spans="1:19" x14ac:dyDescent="0.2">
      <c r="A43" s="86">
        <v>1985</v>
      </c>
      <c r="B43" s="91">
        <v>1493.81115</v>
      </c>
      <c r="C43" s="91">
        <v>1058.8332499999999</v>
      </c>
      <c r="D43" s="91">
        <v>456.39929999999998</v>
      </c>
      <c r="E43" s="91">
        <v>339.8227</v>
      </c>
      <c r="F43" s="91">
        <v>428.49124999999998</v>
      </c>
      <c r="G43" s="91">
        <v>440.72624999999999</v>
      </c>
      <c r="H43" s="91">
        <v>130.8459</v>
      </c>
      <c r="I43" s="92">
        <f t="shared" si="0"/>
        <v>4348.9298000000008</v>
      </c>
      <c r="J43" s="91">
        <v>85.490049999999997</v>
      </c>
      <c r="K43" s="91">
        <v>1873.7408</v>
      </c>
      <c r="L43" s="91">
        <v>1044.7318500000001</v>
      </c>
      <c r="M43" s="91">
        <v>119.41085</v>
      </c>
      <c r="N43" s="92">
        <f t="shared" si="1"/>
        <v>3123.3735500000003</v>
      </c>
      <c r="O43" s="92">
        <f t="shared" si="2"/>
        <v>7472.303350000001</v>
      </c>
      <c r="S43" s="93"/>
    </row>
    <row r="44" spans="1:19" x14ac:dyDescent="0.2">
      <c r="A44" s="86">
        <v>1986</v>
      </c>
      <c r="B44" s="91">
        <v>1432.4213999999999</v>
      </c>
      <c r="C44" s="91">
        <v>1050.5587</v>
      </c>
      <c r="D44" s="91">
        <v>446.85554999999999</v>
      </c>
      <c r="E44" s="91">
        <v>265.9126</v>
      </c>
      <c r="F44" s="91">
        <v>386.79180000000002</v>
      </c>
      <c r="G44" s="91">
        <v>442.81915000000004</v>
      </c>
      <c r="H44" s="91">
        <v>138.16670000000002</v>
      </c>
      <c r="I44" s="92">
        <f t="shared" si="0"/>
        <v>4163.5258999999996</v>
      </c>
      <c r="J44" s="91">
        <v>84.459599999999995</v>
      </c>
      <c r="K44" s="91">
        <v>1867.22155</v>
      </c>
      <c r="L44" s="91">
        <v>1065.7002499999999</v>
      </c>
      <c r="M44" s="91">
        <v>57.673050000000003</v>
      </c>
      <c r="N44" s="92">
        <f t="shared" si="1"/>
        <v>3075.0544499999996</v>
      </c>
      <c r="O44" s="92">
        <f t="shared" si="2"/>
        <v>7238.5803499999993</v>
      </c>
      <c r="S44" s="93"/>
    </row>
    <row r="45" spans="1:19" x14ac:dyDescent="0.2">
      <c r="A45" s="86">
        <v>1987</v>
      </c>
      <c r="B45" s="91">
        <v>1512.914</v>
      </c>
      <c r="C45" s="91">
        <v>1145.9573500000001</v>
      </c>
      <c r="D45" s="91">
        <v>448.93925000000002</v>
      </c>
      <c r="E45" s="91">
        <v>212.20185000000001</v>
      </c>
      <c r="F45" s="91">
        <v>398.00695000000002</v>
      </c>
      <c r="G45" s="91">
        <v>533.5299</v>
      </c>
      <c r="H45" s="91">
        <v>148.58170000000001</v>
      </c>
      <c r="I45" s="92">
        <f t="shared" si="0"/>
        <v>4400.1310000000003</v>
      </c>
      <c r="J45" s="91">
        <v>91.189750000000004</v>
      </c>
      <c r="K45" s="91">
        <v>2039.6486</v>
      </c>
      <c r="L45" s="91">
        <v>995.89125000000001</v>
      </c>
      <c r="M45" s="91">
        <v>72.055149999999998</v>
      </c>
      <c r="N45" s="92">
        <f t="shared" si="1"/>
        <v>3198.7847500000003</v>
      </c>
      <c r="O45" s="92">
        <f t="shared" si="2"/>
        <v>7598.9157500000001</v>
      </c>
      <c r="S45" s="93"/>
    </row>
    <row r="46" spans="1:19" x14ac:dyDescent="0.2">
      <c r="A46" s="86">
        <v>1988</v>
      </c>
      <c r="B46" s="91">
        <v>1541.1214953271028</v>
      </c>
      <c r="C46" s="91">
        <v>1106.5420560747664</v>
      </c>
      <c r="D46" s="91">
        <v>394.39252336448595</v>
      </c>
      <c r="E46" s="91">
        <v>237.38317757009344</v>
      </c>
      <c r="F46" s="91">
        <v>354.20560747663552</v>
      </c>
      <c r="G46" s="91">
        <v>528.97196261682245</v>
      </c>
      <c r="H46" s="91">
        <v>120.5607476635514</v>
      </c>
      <c r="I46" s="92">
        <f t="shared" si="0"/>
        <v>4283.1775700934577</v>
      </c>
      <c r="J46" s="91">
        <v>88.785046728971963</v>
      </c>
      <c r="K46" s="91">
        <v>2200</v>
      </c>
      <c r="L46" s="91">
        <v>940.18691588785043</v>
      </c>
      <c r="M46" s="91">
        <v>85.981308411214954</v>
      </c>
      <c r="N46" s="92">
        <f t="shared" si="1"/>
        <v>3314.9532710280369</v>
      </c>
      <c r="O46" s="92">
        <f t="shared" si="2"/>
        <v>7598.1308411214941</v>
      </c>
      <c r="S46" s="93"/>
    </row>
    <row r="47" spans="1:19" x14ac:dyDescent="0.2">
      <c r="A47" s="86">
        <v>1989</v>
      </c>
      <c r="B47" s="91">
        <v>1532</v>
      </c>
      <c r="C47" s="91">
        <v>1187</v>
      </c>
      <c r="D47" s="91">
        <v>426</v>
      </c>
      <c r="E47" s="91">
        <v>215</v>
      </c>
      <c r="F47" s="91">
        <v>342</v>
      </c>
      <c r="G47" s="91">
        <v>637</v>
      </c>
      <c r="H47" s="91">
        <v>126</v>
      </c>
      <c r="I47" s="92">
        <f t="shared" si="0"/>
        <v>4465</v>
      </c>
      <c r="J47" s="91">
        <v>106</v>
      </c>
      <c r="K47" s="91">
        <v>2051</v>
      </c>
      <c r="L47" s="91">
        <v>1026</v>
      </c>
      <c r="M47" s="91">
        <v>75</v>
      </c>
      <c r="N47" s="92">
        <f t="shared" si="1"/>
        <v>3258</v>
      </c>
      <c r="O47" s="92">
        <f t="shared" si="2"/>
        <v>7723</v>
      </c>
      <c r="S47" s="93"/>
    </row>
    <row r="48" spans="1:19" x14ac:dyDescent="0.2">
      <c r="A48" s="86">
        <v>1990</v>
      </c>
      <c r="B48" s="91">
        <v>1608</v>
      </c>
      <c r="C48" s="91">
        <v>1279</v>
      </c>
      <c r="D48" s="91">
        <v>462</v>
      </c>
      <c r="E48" s="91">
        <v>228</v>
      </c>
      <c r="F48" s="91">
        <v>332</v>
      </c>
      <c r="G48" s="91">
        <v>642</v>
      </c>
      <c r="H48" s="91">
        <v>109</v>
      </c>
      <c r="I48" s="92">
        <f>SUM(B48:H48)</f>
        <v>4660</v>
      </c>
      <c r="J48" s="91">
        <v>108</v>
      </c>
      <c r="K48" s="91">
        <v>2130</v>
      </c>
      <c r="L48" s="91">
        <v>1077</v>
      </c>
      <c r="M48" s="91">
        <v>76</v>
      </c>
      <c r="N48" s="92">
        <f>SUM(J48:M48)</f>
        <v>3391</v>
      </c>
      <c r="O48" s="92">
        <f t="shared" si="2"/>
        <v>8051</v>
      </c>
      <c r="S48" s="93"/>
    </row>
    <row r="49" spans="1:19" x14ac:dyDescent="0.2">
      <c r="A49" s="86">
        <v>1991</v>
      </c>
      <c r="B49" s="91">
        <v>1632</v>
      </c>
      <c r="C49" s="91">
        <v>1277</v>
      </c>
      <c r="D49" s="91">
        <v>439</v>
      </c>
      <c r="E49" s="91">
        <v>204</v>
      </c>
      <c r="F49" s="91">
        <v>331</v>
      </c>
      <c r="G49" s="91">
        <v>623</v>
      </c>
      <c r="H49" s="91">
        <v>88</v>
      </c>
      <c r="I49" s="92">
        <f>SUM(B49:H49)</f>
        <v>4594</v>
      </c>
      <c r="J49" s="91">
        <v>100</v>
      </c>
      <c r="K49" s="91">
        <v>2079</v>
      </c>
      <c r="L49" s="91">
        <v>1182</v>
      </c>
      <c r="M49" s="91">
        <v>108</v>
      </c>
      <c r="N49" s="92">
        <f>SUM(J49:M49)</f>
        <v>3469</v>
      </c>
      <c r="O49" s="92">
        <f t="shared" si="2"/>
        <v>8063</v>
      </c>
      <c r="S49" s="93"/>
    </row>
    <row r="50" spans="1:19" x14ac:dyDescent="0.2">
      <c r="A50" s="86">
        <v>1992</v>
      </c>
      <c r="B50" s="91">
        <v>1719</v>
      </c>
      <c r="C50" s="91">
        <v>1246</v>
      </c>
      <c r="D50" s="91">
        <v>429</v>
      </c>
      <c r="E50" s="91">
        <v>164</v>
      </c>
      <c r="F50" s="91">
        <v>315</v>
      </c>
      <c r="G50" s="91">
        <v>649</v>
      </c>
      <c r="H50" s="91">
        <v>69</v>
      </c>
      <c r="I50" s="92">
        <f>SUM(B50:H50)</f>
        <v>4591</v>
      </c>
      <c r="J50" s="91">
        <v>101</v>
      </c>
      <c r="K50" s="91">
        <v>2104</v>
      </c>
      <c r="L50" s="91">
        <v>1230</v>
      </c>
      <c r="M50" s="91">
        <v>233</v>
      </c>
      <c r="N50" s="92">
        <f t="shared" ref="N50:N78" si="4">SUM(J50:M50)</f>
        <v>3668</v>
      </c>
      <c r="O50" s="92">
        <f t="shared" si="2"/>
        <v>8259</v>
      </c>
      <c r="S50" s="93"/>
    </row>
    <row r="51" spans="1:19" x14ac:dyDescent="0.2">
      <c r="A51" s="86">
        <v>1993</v>
      </c>
      <c r="B51" s="91">
        <v>1785</v>
      </c>
      <c r="C51" s="91">
        <v>1292</v>
      </c>
      <c r="D51" s="91">
        <v>424</v>
      </c>
      <c r="E51" s="91">
        <v>158</v>
      </c>
      <c r="F51" s="91">
        <v>336</v>
      </c>
      <c r="G51" s="91">
        <v>725</v>
      </c>
      <c r="H51" s="91">
        <v>85</v>
      </c>
      <c r="I51" s="92">
        <f t="shared" ref="I51:I78" si="5">SUM(B51:H51)</f>
        <v>4805</v>
      </c>
      <c r="J51" s="91">
        <v>108</v>
      </c>
      <c r="K51" s="91">
        <v>2075</v>
      </c>
      <c r="L51" s="91">
        <v>1235</v>
      </c>
      <c r="M51" s="91">
        <v>171</v>
      </c>
      <c r="N51" s="92">
        <f t="shared" si="4"/>
        <v>3589</v>
      </c>
      <c r="O51" s="92">
        <f t="shared" si="2"/>
        <v>8394</v>
      </c>
      <c r="S51" s="93"/>
    </row>
    <row r="52" spans="1:19" x14ac:dyDescent="0.2">
      <c r="A52" s="86">
        <v>1994</v>
      </c>
      <c r="B52" s="91">
        <v>1952</v>
      </c>
      <c r="C52" s="91">
        <v>1313</v>
      </c>
      <c r="D52" s="91">
        <v>453</v>
      </c>
      <c r="E52" s="91">
        <v>156</v>
      </c>
      <c r="F52" s="91">
        <v>322</v>
      </c>
      <c r="G52" s="91">
        <v>704</v>
      </c>
      <c r="H52" s="91">
        <v>77</v>
      </c>
      <c r="I52" s="92">
        <f t="shared" si="5"/>
        <v>4977</v>
      </c>
      <c r="J52" s="91">
        <v>93</v>
      </c>
      <c r="K52" s="91">
        <v>2039</v>
      </c>
      <c r="L52" s="91">
        <v>1269</v>
      </c>
      <c r="M52" s="91">
        <v>197</v>
      </c>
      <c r="N52" s="92">
        <f t="shared" si="4"/>
        <v>3598</v>
      </c>
      <c r="O52" s="92">
        <f t="shared" si="2"/>
        <v>8575</v>
      </c>
      <c r="R52" s="93"/>
      <c r="S52" s="93"/>
    </row>
    <row r="53" spans="1:19" x14ac:dyDescent="0.2">
      <c r="A53" s="86">
        <v>1995</v>
      </c>
      <c r="B53" s="91">
        <v>1904.9110000000001</v>
      </c>
      <c r="C53" s="91">
        <v>1372.3510000000001</v>
      </c>
      <c r="D53" s="91">
        <v>451.77100000000002</v>
      </c>
      <c r="E53" s="91">
        <v>168.56700000000001</v>
      </c>
      <c r="F53" s="91">
        <v>278.60399999999998</v>
      </c>
      <c r="G53" s="91">
        <v>862.77499999999998</v>
      </c>
      <c r="H53" s="91">
        <v>63.78</v>
      </c>
      <c r="I53" s="92">
        <f t="shared" si="5"/>
        <v>5102.759</v>
      </c>
      <c r="J53" s="91">
        <v>103.151</v>
      </c>
      <c r="K53" s="91">
        <v>2173.2249999999999</v>
      </c>
      <c r="L53" s="91">
        <v>1235.529</v>
      </c>
      <c r="M53" s="91">
        <v>189.41200000000001</v>
      </c>
      <c r="N53" s="92">
        <f t="shared" si="4"/>
        <v>3701.3169999999996</v>
      </c>
      <c r="O53" s="92">
        <f t="shared" si="2"/>
        <v>8804.0759999999991</v>
      </c>
      <c r="R53" s="93"/>
      <c r="S53" s="93"/>
    </row>
    <row r="54" spans="1:19" x14ac:dyDescent="0.2">
      <c r="A54" s="86">
        <v>1996</v>
      </c>
      <c r="B54" s="91">
        <v>1993</v>
      </c>
      <c r="C54" s="91">
        <v>1335</v>
      </c>
      <c r="D54" s="91">
        <v>445</v>
      </c>
      <c r="E54" s="91">
        <v>196</v>
      </c>
      <c r="F54" s="91">
        <v>318</v>
      </c>
      <c r="G54" s="91">
        <v>849</v>
      </c>
      <c r="H54" s="91">
        <v>66</v>
      </c>
      <c r="I54" s="92">
        <f t="shared" si="5"/>
        <v>5202</v>
      </c>
      <c r="J54" s="91">
        <v>80</v>
      </c>
      <c r="K54" s="91">
        <v>2241</v>
      </c>
      <c r="L54" s="91">
        <v>1263</v>
      </c>
      <c r="M54" s="91">
        <v>175</v>
      </c>
      <c r="N54" s="92">
        <f t="shared" si="4"/>
        <v>3759</v>
      </c>
      <c r="O54" s="92">
        <f t="shared" si="2"/>
        <v>8961</v>
      </c>
      <c r="R54" s="93"/>
      <c r="S54" s="93"/>
    </row>
    <row r="55" spans="1:19" x14ac:dyDescent="0.2">
      <c r="A55" s="86">
        <v>1997</v>
      </c>
      <c r="B55" s="91">
        <v>2161.3159999999998</v>
      </c>
      <c r="C55" s="91">
        <v>1350.377</v>
      </c>
      <c r="D55" s="91">
        <v>435.79300000000001</v>
      </c>
      <c r="E55" s="91">
        <v>157.89100000000002</v>
      </c>
      <c r="F55" s="91">
        <v>307.85400000000004</v>
      </c>
      <c r="G55" s="91">
        <v>792.67200000000003</v>
      </c>
      <c r="H55" s="91">
        <v>66.477999999999994</v>
      </c>
      <c r="I55" s="92">
        <f t="shared" si="5"/>
        <v>5272.3810000000003</v>
      </c>
      <c r="J55" s="91">
        <v>77.513000000000005</v>
      </c>
      <c r="K55" s="91">
        <v>2283.3829999999998</v>
      </c>
      <c r="L55" s="91">
        <v>1280.8019999999999</v>
      </c>
      <c r="M55" s="91">
        <v>186.39</v>
      </c>
      <c r="N55" s="92">
        <f t="shared" si="4"/>
        <v>3828.0879999999993</v>
      </c>
      <c r="O55" s="92">
        <f t="shared" si="2"/>
        <v>9100.4689999999991</v>
      </c>
      <c r="R55" s="93"/>
      <c r="S55" s="93"/>
    </row>
    <row r="56" spans="1:19" x14ac:dyDescent="0.2">
      <c r="A56" s="86">
        <v>1998</v>
      </c>
      <c r="B56" s="91">
        <v>2301.2730000000001</v>
      </c>
      <c r="C56" s="91">
        <v>1336.28</v>
      </c>
      <c r="D56" s="91">
        <v>438.33</v>
      </c>
      <c r="E56" s="91">
        <v>165.465</v>
      </c>
      <c r="F56" s="91">
        <v>330.762</v>
      </c>
      <c r="G56" s="91">
        <v>907.38900000000001</v>
      </c>
      <c r="H56" s="91">
        <v>76.331999999999994</v>
      </c>
      <c r="I56" s="92">
        <f t="shared" si="5"/>
        <v>5555.8310000000001</v>
      </c>
      <c r="J56" s="91">
        <v>78.631</v>
      </c>
      <c r="K56" s="91">
        <v>2222.768</v>
      </c>
      <c r="L56" s="91">
        <v>1229.52</v>
      </c>
      <c r="M56" s="91">
        <v>229.38499999999999</v>
      </c>
      <c r="N56" s="92">
        <f t="shared" si="4"/>
        <v>3760.3040000000001</v>
      </c>
      <c r="O56" s="92">
        <f t="shared" si="2"/>
        <v>9316.1350000000002</v>
      </c>
      <c r="R56" s="93"/>
      <c r="S56" s="93"/>
    </row>
    <row r="57" spans="1:19" x14ac:dyDescent="0.2">
      <c r="A57" s="95">
        <v>1999</v>
      </c>
      <c r="B57" s="94">
        <v>2311.6289999999999</v>
      </c>
      <c r="C57" s="94">
        <v>1361.4719999999998</v>
      </c>
      <c r="D57" s="94">
        <v>499</v>
      </c>
      <c r="E57" s="94">
        <v>178.81</v>
      </c>
      <c r="F57" s="94">
        <v>346.315</v>
      </c>
      <c r="G57" s="94">
        <v>862</v>
      </c>
      <c r="H57" s="94">
        <v>70.569999999999993</v>
      </c>
      <c r="I57" s="92">
        <f t="shared" si="5"/>
        <v>5629.7959999999994</v>
      </c>
      <c r="J57" s="94">
        <v>71.594999999999999</v>
      </c>
      <c r="K57" s="94">
        <v>2257.37</v>
      </c>
      <c r="L57" s="94">
        <v>1262.97</v>
      </c>
      <c r="M57" s="94">
        <v>212</v>
      </c>
      <c r="N57" s="92">
        <f t="shared" si="4"/>
        <v>3803.9349999999995</v>
      </c>
      <c r="O57" s="92">
        <f t="shared" si="2"/>
        <v>9433.7309999999998</v>
      </c>
      <c r="R57" s="93"/>
      <c r="S57" s="93"/>
    </row>
    <row r="58" spans="1:19" x14ac:dyDescent="0.2">
      <c r="A58" s="95">
        <v>2000</v>
      </c>
      <c r="B58" s="94">
        <v>2263.5360000000001</v>
      </c>
      <c r="C58" s="94">
        <v>1328.14</v>
      </c>
      <c r="D58" s="94">
        <v>499.11699999999996</v>
      </c>
      <c r="E58" s="94">
        <v>167.59100000000001</v>
      </c>
      <c r="F58" s="94">
        <v>330.3</v>
      </c>
      <c r="G58" s="94">
        <v>816.80499999999995</v>
      </c>
      <c r="H58" s="94">
        <v>85.328000000000003</v>
      </c>
      <c r="I58" s="92">
        <f t="shared" si="5"/>
        <v>5490.8170000000018</v>
      </c>
      <c r="J58" s="94">
        <v>70.625</v>
      </c>
      <c r="K58" s="94">
        <v>2240.9569999999999</v>
      </c>
      <c r="L58" s="94">
        <v>1242.278</v>
      </c>
      <c r="M58" s="94">
        <v>338.64400000000001</v>
      </c>
      <c r="N58" s="92">
        <f t="shared" si="4"/>
        <v>3892.5039999999999</v>
      </c>
      <c r="O58" s="92">
        <f t="shared" si="2"/>
        <v>9383.3210000000017</v>
      </c>
      <c r="R58" s="93"/>
      <c r="S58" s="93"/>
    </row>
    <row r="59" spans="1:19" x14ac:dyDescent="0.2">
      <c r="A59" s="95">
        <v>2001</v>
      </c>
      <c r="B59" s="94">
        <v>2273.3040000000001</v>
      </c>
      <c r="C59" s="94">
        <v>1316.4119999999998</v>
      </c>
      <c r="D59" s="94">
        <v>483.68599999999992</v>
      </c>
      <c r="E59" s="94">
        <v>157.535</v>
      </c>
      <c r="F59" s="94">
        <v>309.78399999999999</v>
      </c>
      <c r="G59" s="94">
        <v>799.94299999999998</v>
      </c>
      <c r="H59" s="94">
        <v>73.627999999999986</v>
      </c>
      <c r="I59" s="92">
        <f t="shared" si="5"/>
        <v>5414.2919999999995</v>
      </c>
      <c r="J59" s="94">
        <v>58.918999999999997</v>
      </c>
      <c r="K59" s="94">
        <v>2249.576</v>
      </c>
      <c r="L59" s="94">
        <v>1254.5730000000001</v>
      </c>
      <c r="M59" s="94">
        <v>363.68100000000004</v>
      </c>
      <c r="N59" s="92">
        <f t="shared" si="4"/>
        <v>3926.7490000000003</v>
      </c>
      <c r="O59" s="92">
        <f t="shared" si="2"/>
        <v>9341.0409999999993</v>
      </c>
      <c r="R59" s="93"/>
      <c r="S59" s="93"/>
    </row>
    <row r="60" spans="1:19" x14ac:dyDescent="0.2">
      <c r="A60" s="95">
        <v>2002</v>
      </c>
      <c r="B60" s="94">
        <v>2074.694</v>
      </c>
      <c r="C60" s="94">
        <v>1223.3440000000001</v>
      </c>
      <c r="D60" s="94">
        <v>528.89300000000003</v>
      </c>
      <c r="E60" s="94">
        <v>188.61600000000001</v>
      </c>
      <c r="F60" s="94">
        <v>296.54000000000002</v>
      </c>
      <c r="G60" s="94">
        <v>724.59100000000001</v>
      </c>
      <c r="H60" s="94">
        <v>99.26</v>
      </c>
      <c r="I60" s="92">
        <f t="shared" si="5"/>
        <v>5135.938000000001</v>
      </c>
      <c r="J60" s="94">
        <v>53.156000000000006</v>
      </c>
      <c r="K60" s="94">
        <v>2406.2960000000003</v>
      </c>
      <c r="L60" s="94">
        <v>1321.771</v>
      </c>
      <c r="M60" s="94">
        <v>327.072</v>
      </c>
      <c r="N60" s="92">
        <f t="shared" si="4"/>
        <v>4108.2950000000001</v>
      </c>
      <c r="O60" s="92">
        <f t="shared" si="2"/>
        <v>9244.2330000000002</v>
      </c>
      <c r="R60" s="93"/>
      <c r="S60" s="93"/>
    </row>
    <row r="61" spans="1:19" x14ac:dyDescent="0.2">
      <c r="A61" s="95">
        <v>2003</v>
      </c>
      <c r="B61" s="94">
        <v>2107.9369999999999</v>
      </c>
      <c r="C61" s="94">
        <v>1129.923</v>
      </c>
      <c r="D61" s="94">
        <v>548.05399999999997</v>
      </c>
      <c r="E61" s="94">
        <v>214.46200000000002</v>
      </c>
      <c r="F61" s="94">
        <v>302.584</v>
      </c>
      <c r="G61" s="94">
        <v>632.15200000000004</v>
      </c>
      <c r="H61" s="94">
        <v>98.834000000000003</v>
      </c>
      <c r="I61" s="92">
        <f t="shared" si="5"/>
        <v>5033.9459999999999</v>
      </c>
      <c r="J61" s="94">
        <v>51.515000000000001</v>
      </c>
      <c r="K61" s="94">
        <v>2387.364</v>
      </c>
      <c r="L61" s="94">
        <v>1278.557</v>
      </c>
      <c r="M61" s="94">
        <v>321.25099999999998</v>
      </c>
      <c r="N61" s="92">
        <f t="shared" si="4"/>
        <v>4038.6869999999999</v>
      </c>
      <c r="O61" s="92">
        <f t="shared" si="2"/>
        <v>9072.6329999999998</v>
      </c>
      <c r="R61" s="93"/>
      <c r="S61" s="93"/>
    </row>
    <row r="62" spans="1:19" x14ac:dyDescent="0.2">
      <c r="A62" s="95">
        <v>2004</v>
      </c>
      <c r="B62" s="94">
        <v>2179.971</v>
      </c>
      <c r="C62" s="94">
        <v>1125.4319999999998</v>
      </c>
      <c r="D62" s="94">
        <v>603.423</v>
      </c>
      <c r="E62" s="94">
        <v>242.345</v>
      </c>
      <c r="F62" s="94">
        <v>314.834</v>
      </c>
      <c r="G62" s="94">
        <v>696.90599999999995</v>
      </c>
      <c r="H62" s="94">
        <v>90.962000000000003</v>
      </c>
      <c r="I62" s="92">
        <f t="shared" si="5"/>
        <v>5253.8730000000005</v>
      </c>
      <c r="J62" s="94">
        <v>76.186999999999998</v>
      </c>
      <c r="K62" s="94">
        <v>2397.6350000000002</v>
      </c>
      <c r="L62" s="94">
        <v>1266.6949999999999</v>
      </c>
      <c r="M62" s="94">
        <v>215.63600000000002</v>
      </c>
      <c r="N62" s="92">
        <f t="shared" si="4"/>
        <v>3956.1529999999998</v>
      </c>
      <c r="O62" s="92">
        <f t="shared" si="2"/>
        <v>9210.0259999999998</v>
      </c>
      <c r="R62" s="93"/>
      <c r="S62" s="93"/>
    </row>
    <row r="63" spans="1:19" ht="12.75" customHeight="1" x14ac:dyDescent="0.2">
      <c r="A63" s="95">
        <v>2005</v>
      </c>
      <c r="B63" s="94">
        <v>2297.348</v>
      </c>
      <c r="C63" s="94">
        <v>1130.7280000000001</v>
      </c>
      <c r="D63" s="94">
        <v>586.81100000000004</v>
      </c>
      <c r="E63" s="94">
        <v>236.94800000000004</v>
      </c>
      <c r="F63" s="94">
        <v>335.89100000000002</v>
      </c>
      <c r="G63" s="94">
        <v>606.24400000000003</v>
      </c>
      <c r="H63" s="94">
        <v>92.028000000000006</v>
      </c>
      <c r="I63" s="92">
        <f t="shared" si="5"/>
        <v>5285.9979999999996</v>
      </c>
      <c r="J63" s="94">
        <v>114.72199999999999</v>
      </c>
      <c r="K63" s="94">
        <v>2401.3990000000003</v>
      </c>
      <c r="L63" s="94">
        <v>1262.3129999999999</v>
      </c>
      <c r="M63" s="94">
        <v>247.56399999999996</v>
      </c>
      <c r="N63" s="92">
        <f t="shared" si="4"/>
        <v>4025.998</v>
      </c>
      <c r="O63" s="92">
        <f t="shared" si="2"/>
        <v>9311.9959999999992</v>
      </c>
      <c r="R63" s="93"/>
      <c r="S63" s="93"/>
    </row>
    <row r="64" spans="1:19" x14ac:dyDescent="0.2">
      <c r="A64" s="95">
        <v>2006</v>
      </c>
      <c r="B64" s="94">
        <v>2230.527</v>
      </c>
      <c r="C64" s="94">
        <v>1068.9480000000001</v>
      </c>
      <c r="D64" s="94">
        <v>553.49</v>
      </c>
      <c r="E64" s="94">
        <v>228.26300000000001</v>
      </c>
      <c r="F64" s="94">
        <v>334.58300000000008</v>
      </c>
      <c r="G64" s="94">
        <v>534.96600000000001</v>
      </c>
      <c r="H64" s="94">
        <v>106.54900000000001</v>
      </c>
      <c r="I64" s="92">
        <f t="shared" si="5"/>
        <v>5057.326</v>
      </c>
      <c r="J64" s="94">
        <v>87.542999999999992</v>
      </c>
      <c r="K64" s="94">
        <v>2388.6410000000001</v>
      </c>
      <c r="L64" s="94">
        <v>1203.501</v>
      </c>
      <c r="M64" s="94">
        <v>184.57400000000001</v>
      </c>
      <c r="N64" s="92">
        <f t="shared" si="4"/>
        <v>3864.2590000000005</v>
      </c>
      <c r="O64" s="92">
        <f t="shared" si="2"/>
        <v>8921.5850000000009</v>
      </c>
      <c r="R64" s="93"/>
      <c r="S64" s="93"/>
    </row>
    <row r="65" spans="1:19" x14ac:dyDescent="0.2">
      <c r="A65" s="95">
        <v>2007</v>
      </c>
      <c r="B65" s="94">
        <v>2399.1999999999998</v>
      </c>
      <c r="C65" s="94">
        <v>1109.55</v>
      </c>
      <c r="D65" s="94">
        <v>608.774</v>
      </c>
      <c r="E65" s="94">
        <v>311.80500000000001</v>
      </c>
      <c r="F65" s="94">
        <v>360</v>
      </c>
      <c r="G65" s="94">
        <v>568.61500000000001</v>
      </c>
      <c r="H65" s="94">
        <v>102.30800000000001</v>
      </c>
      <c r="I65" s="92">
        <f t="shared" si="5"/>
        <v>5460.2520000000004</v>
      </c>
      <c r="J65" s="94">
        <v>73.858000000000004</v>
      </c>
      <c r="K65" s="94">
        <v>2410.634</v>
      </c>
      <c r="L65" s="94">
        <v>1210.847</v>
      </c>
      <c r="M65" s="94">
        <v>192.84900000000002</v>
      </c>
      <c r="N65" s="92">
        <f t="shared" si="4"/>
        <v>3888.1880000000001</v>
      </c>
      <c r="O65" s="92">
        <f t="shared" si="2"/>
        <v>9348.44</v>
      </c>
      <c r="R65" s="93"/>
      <c r="S65" s="93"/>
    </row>
    <row r="66" spans="1:19" x14ac:dyDescent="0.2">
      <c r="A66" s="96">
        <v>2008</v>
      </c>
      <c r="B66" s="94">
        <v>2311.6089999999999</v>
      </c>
      <c r="C66" s="94">
        <v>1108.336</v>
      </c>
      <c r="D66" s="94">
        <v>611.55499999999995</v>
      </c>
      <c r="E66" s="94">
        <v>340.89200000000005</v>
      </c>
      <c r="F66" s="94">
        <v>427.06299999999999</v>
      </c>
      <c r="G66" s="94">
        <v>675.63900000000001</v>
      </c>
      <c r="H66" s="94">
        <v>96.930999999999997</v>
      </c>
      <c r="I66" s="92">
        <f t="shared" si="5"/>
        <v>5572.0249999999996</v>
      </c>
      <c r="J66" s="94">
        <v>114.71200000000002</v>
      </c>
      <c r="K66" s="94">
        <v>2316.739</v>
      </c>
      <c r="L66" s="94">
        <v>1212.009</v>
      </c>
      <c r="M66" s="94">
        <v>191.51700000000002</v>
      </c>
      <c r="N66" s="92">
        <f t="shared" si="4"/>
        <v>3834.9769999999999</v>
      </c>
      <c r="O66" s="92">
        <f t="shared" si="2"/>
        <v>9407.0020000000004</v>
      </c>
      <c r="R66" s="93"/>
      <c r="S66" s="93"/>
    </row>
    <row r="67" spans="1:19" x14ac:dyDescent="0.2">
      <c r="A67" s="96">
        <v>2009</v>
      </c>
      <c r="B67" s="94">
        <v>2285.6880000000001</v>
      </c>
      <c r="C67" s="94">
        <v>1085.115</v>
      </c>
      <c r="D67" s="94">
        <v>586.76099999999997</v>
      </c>
      <c r="E67" s="94">
        <v>351.12700000000001</v>
      </c>
      <c r="F67" s="94">
        <v>426.72400000000005</v>
      </c>
      <c r="G67" s="94">
        <v>573.19000000000005</v>
      </c>
      <c r="H67" s="94">
        <v>84.14</v>
      </c>
      <c r="I67" s="92">
        <f t="shared" si="5"/>
        <v>5392.7449999999999</v>
      </c>
      <c r="J67" s="94">
        <v>127.28</v>
      </c>
      <c r="K67" s="94">
        <v>2360.1620000000003</v>
      </c>
      <c r="L67" s="94">
        <v>1241.242</v>
      </c>
      <c r="M67" s="94">
        <v>178.38800000000001</v>
      </c>
      <c r="N67" s="92">
        <f t="shared" si="4"/>
        <v>3907.0720000000001</v>
      </c>
      <c r="O67" s="92">
        <f t="shared" si="2"/>
        <v>9299.8169999999991</v>
      </c>
      <c r="R67" s="93"/>
      <c r="S67" s="93"/>
    </row>
    <row r="68" spans="1:19" x14ac:dyDescent="0.2">
      <c r="A68" s="96">
        <v>2010</v>
      </c>
      <c r="B68" s="94">
        <v>2415.0540000000001</v>
      </c>
      <c r="C68" s="94">
        <v>1069.8679999999999</v>
      </c>
      <c r="D68" s="94">
        <v>583.10299999999995</v>
      </c>
      <c r="E68" s="94">
        <v>422.096</v>
      </c>
      <c r="F68" s="94">
        <v>390.96100000000001</v>
      </c>
      <c r="G68" s="94">
        <v>609.0139999999999</v>
      </c>
      <c r="H68" s="94">
        <v>181.1</v>
      </c>
      <c r="I68" s="92">
        <f t="shared" si="5"/>
        <v>5671.1960000000008</v>
      </c>
      <c r="J68" s="94">
        <v>123.896</v>
      </c>
      <c r="K68" s="94">
        <v>2469.819</v>
      </c>
      <c r="L68" s="94">
        <v>1269.8899999999999</v>
      </c>
      <c r="M68" s="94">
        <v>142.21800000000002</v>
      </c>
      <c r="N68" s="92">
        <f t="shared" si="4"/>
        <v>4005.8229999999999</v>
      </c>
      <c r="O68" s="92">
        <f t="shared" si="2"/>
        <v>9677.0190000000002</v>
      </c>
      <c r="R68" s="93"/>
      <c r="S68" s="93"/>
    </row>
    <row r="69" spans="1:19" x14ac:dyDescent="0.2">
      <c r="A69" s="96">
        <v>2011</v>
      </c>
      <c r="B69" s="94">
        <v>2323.665</v>
      </c>
      <c r="C69" s="94">
        <v>1048.0870000000002</v>
      </c>
      <c r="D69" s="94">
        <v>621.98500000000001</v>
      </c>
      <c r="E69" s="94">
        <v>403.96</v>
      </c>
      <c r="F69" s="94">
        <v>410.63599999999997</v>
      </c>
      <c r="G69" s="94">
        <v>624.91399999999999</v>
      </c>
      <c r="H69" s="94">
        <v>128.34399999999999</v>
      </c>
      <c r="I69" s="92">
        <f t="shared" si="5"/>
        <v>5561.5910000000003</v>
      </c>
      <c r="J69" s="94">
        <v>119.501</v>
      </c>
      <c r="K69" s="94">
        <v>2511.0110000000004</v>
      </c>
      <c r="L69" s="94">
        <v>1238.6489999999999</v>
      </c>
      <c r="M69" s="94">
        <v>234.601</v>
      </c>
      <c r="N69" s="92">
        <f t="shared" si="4"/>
        <v>4103.7620000000006</v>
      </c>
      <c r="O69" s="92">
        <f t="shared" si="2"/>
        <v>9665.353000000001</v>
      </c>
      <c r="R69" s="93"/>
      <c r="S69" s="93"/>
    </row>
    <row r="70" spans="1:19" x14ac:dyDescent="0.2">
      <c r="A70" s="96">
        <v>2012</v>
      </c>
      <c r="B70" s="94">
        <v>2330.17</v>
      </c>
      <c r="C70" s="94">
        <v>1044.2570000000001</v>
      </c>
      <c r="D70" s="94">
        <v>673.66300000000001</v>
      </c>
      <c r="E70" s="94">
        <v>485.86699999999996</v>
      </c>
      <c r="F70" s="94">
        <v>412.13099999999997</v>
      </c>
      <c r="G70" s="94">
        <v>686.73800000000006</v>
      </c>
      <c r="H70" s="94">
        <v>122.545</v>
      </c>
      <c r="I70" s="92">
        <f t="shared" si="5"/>
        <v>5755.371000000001</v>
      </c>
      <c r="J70" s="94">
        <v>129.893</v>
      </c>
      <c r="K70" s="94">
        <v>2374.277</v>
      </c>
      <c r="L70" s="94">
        <v>1171.7249999999999</v>
      </c>
      <c r="M70" s="94">
        <v>283.35500000000002</v>
      </c>
      <c r="N70" s="92">
        <f t="shared" si="4"/>
        <v>3959.25</v>
      </c>
      <c r="O70" s="92">
        <f t="shared" si="2"/>
        <v>9714.621000000001</v>
      </c>
      <c r="R70" s="93"/>
      <c r="S70" s="93"/>
    </row>
    <row r="71" spans="1:19" x14ac:dyDescent="0.2">
      <c r="A71" s="96">
        <v>2013</v>
      </c>
      <c r="B71" s="94">
        <v>2296.2179999999998</v>
      </c>
      <c r="C71" s="94">
        <v>1149.3499999999999</v>
      </c>
      <c r="D71" s="94">
        <v>678.08299999999997</v>
      </c>
      <c r="E71" s="94">
        <v>546.96400000000006</v>
      </c>
      <c r="F71" s="94">
        <v>398.98599999999999</v>
      </c>
      <c r="G71" s="94">
        <v>760.26199999999994</v>
      </c>
      <c r="H71" s="94">
        <v>116.92400000000001</v>
      </c>
      <c r="I71" s="92">
        <f t="shared" si="5"/>
        <v>5946.7869999999994</v>
      </c>
      <c r="J71" s="94">
        <v>111.517</v>
      </c>
      <c r="K71" s="94">
        <v>2427.3820000000001</v>
      </c>
      <c r="L71" s="94">
        <v>1108.6779999999999</v>
      </c>
      <c r="M71" s="94">
        <v>392.69700000000006</v>
      </c>
      <c r="N71" s="92">
        <f t="shared" si="4"/>
        <v>4040.2739999999999</v>
      </c>
      <c r="O71" s="92">
        <f t="shared" ref="O71:O80" si="6">I71+N71</f>
        <v>9987.0609999999997</v>
      </c>
      <c r="R71" s="93"/>
      <c r="S71" s="93"/>
    </row>
    <row r="72" spans="1:19" x14ac:dyDescent="0.2">
      <c r="A72" s="96">
        <v>2014</v>
      </c>
      <c r="B72" s="94">
        <v>2435.1020000000003</v>
      </c>
      <c r="C72" s="94">
        <v>1142.491</v>
      </c>
      <c r="D72" s="94">
        <v>755.505</v>
      </c>
      <c r="E72" s="94">
        <v>597.63200000000006</v>
      </c>
      <c r="F72" s="94">
        <v>434.12199999999996</v>
      </c>
      <c r="G72" s="94">
        <v>852.81200000000001</v>
      </c>
      <c r="H72" s="94">
        <v>117.91200000000001</v>
      </c>
      <c r="I72" s="92">
        <f t="shared" si="5"/>
        <v>6335.576</v>
      </c>
      <c r="J72" s="94">
        <v>117.58</v>
      </c>
      <c r="K72" s="94">
        <v>2150.9229999999998</v>
      </c>
      <c r="L72" s="94">
        <v>1193.393</v>
      </c>
      <c r="M72" s="94">
        <v>502.92100000000005</v>
      </c>
      <c r="N72" s="92">
        <f t="shared" si="4"/>
        <v>3964.817</v>
      </c>
      <c r="O72" s="92">
        <f t="shared" si="6"/>
        <v>10300.393</v>
      </c>
      <c r="Q72" s="93"/>
      <c r="R72" s="93"/>
    </row>
    <row r="73" spans="1:19" x14ac:dyDescent="0.2">
      <c r="A73" s="96">
        <v>2015</v>
      </c>
      <c r="B73" s="94">
        <v>2390.9700000000003</v>
      </c>
      <c r="C73" s="94">
        <v>1172.2350000000001</v>
      </c>
      <c r="D73" s="94">
        <v>764.19799999999998</v>
      </c>
      <c r="E73" s="94">
        <v>755.13400000000001</v>
      </c>
      <c r="F73" s="94">
        <v>472.9</v>
      </c>
      <c r="G73" s="94">
        <v>791.34199999999998</v>
      </c>
      <c r="H73" s="94">
        <v>161.72899999999998</v>
      </c>
      <c r="I73" s="92">
        <f t="shared" si="5"/>
        <v>6508.5079999999998</v>
      </c>
      <c r="J73" s="94">
        <v>103.37</v>
      </c>
      <c r="K73" s="94">
        <v>2086.4760000000001</v>
      </c>
      <c r="L73" s="94">
        <v>1229.579</v>
      </c>
      <c r="M73" s="94">
        <v>412.58600000000001</v>
      </c>
      <c r="N73" s="92">
        <f t="shared" si="4"/>
        <v>3832.0110000000004</v>
      </c>
      <c r="O73" s="92">
        <f t="shared" si="6"/>
        <v>10340.519</v>
      </c>
      <c r="Q73" s="93"/>
      <c r="R73" s="93"/>
    </row>
    <row r="74" spans="1:19" x14ac:dyDescent="0.2">
      <c r="A74" s="96">
        <v>2016</v>
      </c>
      <c r="B74" s="94">
        <v>2517.46</v>
      </c>
      <c r="C74" s="94">
        <v>1156.1569999999999</v>
      </c>
      <c r="D74" s="94">
        <v>763.8309999999999</v>
      </c>
      <c r="E74" s="94">
        <v>695.029</v>
      </c>
      <c r="F74" s="94">
        <v>433.28100000000001</v>
      </c>
      <c r="G74" s="94">
        <v>879.74900000000002</v>
      </c>
      <c r="H74" s="94">
        <v>179.41299999999998</v>
      </c>
      <c r="I74" s="92">
        <f t="shared" si="5"/>
        <v>6624.92</v>
      </c>
      <c r="J74" s="94">
        <v>91.739000000000004</v>
      </c>
      <c r="K74" s="94">
        <v>2247.5329999999999</v>
      </c>
      <c r="L74" s="94">
        <v>1303.211</v>
      </c>
      <c r="M74" s="94">
        <v>457.774</v>
      </c>
      <c r="N74" s="92">
        <f t="shared" si="4"/>
        <v>4100.2570000000005</v>
      </c>
      <c r="O74" s="92">
        <f t="shared" si="6"/>
        <v>10725.177</v>
      </c>
      <c r="Q74" s="93"/>
      <c r="R74" s="93"/>
    </row>
    <row r="75" spans="1:19" x14ac:dyDescent="0.2">
      <c r="A75" s="96">
        <v>2017</v>
      </c>
      <c r="B75" s="94">
        <v>2518.931</v>
      </c>
      <c r="C75" s="94">
        <v>1171.4670000000001</v>
      </c>
      <c r="D75" s="94">
        <v>753.27099999999996</v>
      </c>
      <c r="E75" s="94">
        <v>680.12099999999998</v>
      </c>
      <c r="F75" s="94">
        <v>420.30399999999997</v>
      </c>
      <c r="G75" s="94">
        <v>1048.2380000000001</v>
      </c>
      <c r="H75" s="94">
        <v>136.76400000000001</v>
      </c>
      <c r="I75" s="92">
        <f t="shared" si="5"/>
        <v>6729.0960000000005</v>
      </c>
      <c r="J75" s="94">
        <v>104.711</v>
      </c>
      <c r="K75" s="94">
        <v>2206.2890000000002</v>
      </c>
      <c r="L75" s="94">
        <v>1250.0490000000002</v>
      </c>
      <c r="M75" s="94">
        <v>493.91999999999996</v>
      </c>
      <c r="N75" s="92">
        <f t="shared" si="4"/>
        <v>4054.9690000000001</v>
      </c>
      <c r="O75" s="92">
        <f t="shared" si="6"/>
        <v>10784.065000000001</v>
      </c>
      <c r="Q75" s="93"/>
      <c r="R75" s="93"/>
    </row>
    <row r="76" spans="1:19" x14ac:dyDescent="0.2">
      <c r="A76" s="96">
        <v>2018</v>
      </c>
      <c r="B76" s="94">
        <v>2468.3890000000001</v>
      </c>
      <c r="C76" s="94">
        <v>1222.0140000000001</v>
      </c>
      <c r="D76" s="94">
        <v>811.86799999999994</v>
      </c>
      <c r="E76" s="94">
        <v>724.63699999999994</v>
      </c>
      <c r="F76" s="94">
        <v>375.10599999999999</v>
      </c>
      <c r="G76" s="94">
        <v>1147.329</v>
      </c>
      <c r="H76" s="94">
        <v>137.92099999999999</v>
      </c>
      <c r="I76" s="92">
        <f t="shared" si="5"/>
        <v>6887.2640000000001</v>
      </c>
      <c r="J76" s="94">
        <v>91.143000000000001</v>
      </c>
      <c r="K76" s="94">
        <v>2175.2329999999997</v>
      </c>
      <c r="L76" s="94">
        <v>1223.8360000000002</v>
      </c>
      <c r="M76" s="94">
        <v>335.09100000000001</v>
      </c>
      <c r="N76" s="92">
        <f t="shared" si="4"/>
        <v>3825.3029999999999</v>
      </c>
      <c r="O76" s="92">
        <f t="shared" si="6"/>
        <v>10712.566999999999</v>
      </c>
      <c r="Q76" s="93"/>
      <c r="R76" s="93"/>
    </row>
    <row r="77" spans="1:19" x14ac:dyDescent="0.2">
      <c r="A77" s="96">
        <v>2019</v>
      </c>
      <c r="B77" s="94">
        <v>2526.002</v>
      </c>
      <c r="C77" s="94">
        <v>1188.8699999999999</v>
      </c>
      <c r="D77" s="94">
        <v>760.26800000000003</v>
      </c>
      <c r="E77" s="94">
        <v>724.54399999999998</v>
      </c>
      <c r="F77" s="94">
        <v>409.36</v>
      </c>
      <c r="G77" s="94">
        <v>1159.586</v>
      </c>
      <c r="H77" s="94">
        <v>126.87799999999999</v>
      </c>
      <c r="I77" s="92">
        <f t="shared" si="5"/>
        <v>6895.5079999999989</v>
      </c>
      <c r="J77" s="94">
        <v>83.064000000000007</v>
      </c>
      <c r="K77" s="94">
        <v>2263.6019999999999</v>
      </c>
      <c r="L77" s="94">
        <v>1236.712</v>
      </c>
      <c r="M77" s="94">
        <v>292.017</v>
      </c>
      <c r="N77" s="92">
        <f t="shared" si="4"/>
        <v>3875.3949999999995</v>
      </c>
      <c r="O77" s="92">
        <f t="shared" si="6"/>
        <v>10770.902999999998</v>
      </c>
      <c r="Q77" s="93"/>
      <c r="R77" s="93"/>
    </row>
    <row r="78" spans="1:19" x14ac:dyDescent="0.2">
      <c r="A78" s="96">
        <v>2020</v>
      </c>
      <c r="B78" s="94">
        <f>Table20b!B352+Table20b!B356+Table20b!B360+Table20b!B364</f>
        <v>2421.17</v>
      </c>
      <c r="C78" s="94">
        <f>Table20b!C352+Table20b!C356+Table20b!C360+Table20b!C364</f>
        <v>993.22900000000004</v>
      </c>
      <c r="D78" s="94">
        <f>Table20b!D352+Table20b!D356+Table20b!D360+Table20b!D364</f>
        <v>765.827</v>
      </c>
      <c r="E78" s="94">
        <f>Table20b!E352+Table20b!E356+Table20b!E360+Table20b!E364</f>
        <v>619.59899999999993</v>
      </c>
      <c r="F78" s="94">
        <f>Table20b!F352+Table20b!F356+Table20b!F360+Table20b!F364</f>
        <v>430.11</v>
      </c>
      <c r="G78" s="94">
        <f>Table20b!G352+Table20b!G356+Table20b!G360+Table20b!G364</f>
        <v>1015.9000000000001</v>
      </c>
      <c r="H78" s="94">
        <f>Table20b!H352+Table20b!H356+Table20b!H360+Table20b!H364</f>
        <v>143.09699999999998</v>
      </c>
      <c r="I78" s="92">
        <f t="shared" si="5"/>
        <v>6388.9320000000007</v>
      </c>
      <c r="J78" s="94">
        <f>Table20b!J352+Table20b!J356+Table20b!J360+Table20b!J364</f>
        <v>90.040999999999997</v>
      </c>
      <c r="K78" s="94">
        <f>Table20b!K352+Table20b!K356+Table20b!K360+Table20b!K364</f>
        <v>2244.0299999999997</v>
      </c>
      <c r="L78" s="94">
        <f>Table20b!L352+Table20b!L356+Table20b!L360+Table20b!L364</f>
        <v>1310.7260000000001</v>
      </c>
      <c r="M78" s="94">
        <f>Table20b!M352+Table20b!M356+Table20b!M360+Table20b!M364</f>
        <v>306.37700000000001</v>
      </c>
      <c r="N78" s="92">
        <f t="shared" si="4"/>
        <v>3951.174</v>
      </c>
      <c r="O78" s="92">
        <f t="shared" si="6"/>
        <v>10340.106</v>
      </c>
      <c r="Q78" s="93"/>
      <c r="R78" s="93"/>
    </row>
    <row r="79" spans="1:19" x14ac:dyDescent="0.2">
      <c r="A79" s="96">
        <v>2021</v>
      </c>
      <c r="B79" s="94">
        <f>Table20b!B370+Table20b!B374+Table20b!B378+Table20b!B382</f>
        <v>2476.2649999999999</v>
      </c>
      <c r="C79" s="94">
        <f>Table20b!C370+Table20b!C374+Table20b!C378+Table20b!C382</f>
        <v>1038.7540000000001</v>
      </c>
      <c r="D79" s="94">
        <f>Table20b!D370+Table20b!D374+Table20b!D378+Table20b!D382</f>
        <v>821.87099999999987</v>
      </c>
      <c r="E79" s="94">
        <f>Table20b!E370+Table20b!E374+Table20b!E378+Table20b!E382</f>
        <v>746.14599999999996</v>
      </c>
      <c r="F79" s="94">
        <f>Table20b!F370+Table20b!F374+Table20b!F378+Table20b!F382</f>
        <v>398.61400000000003</v>
      </c>
      <c r="G79" s="94">
        <f>Table20b!G370+Table20b!G374+Table20b!G378+Table20b!G382</f>
        <v>1076.107</v>
      </c>
      <c r="H79" s="94">
        <f>Table20b!H370+Table20b!H374+Table20b!H378+Table20b!H382</f>
        <v>125.544</v>
      </c>
      <c r="I79" s="92">
        <f>SUM(B79:H79)</f>
        <v>6683.3009999999995</v>
      </c>
      <c r="J79" s="94">
        <f>Table20b!J370+Table20b!J374+Table20b!J378+Table20b!J382</f>
        <v>132.261</v>
      </c>
      <c r="K79" s="94">
        <f>Table20b!K370+Table20b!K374+Table20b!K378+Table20b!K382</f>
        <v>2271.0619999999999</v>
      </c>
      <c r="L79" s="94">
        <f>Table20b!L370+Table20b!L374+Table20b!L378+Table20b!L382</f>
        <v>1227.0920000000001</v>
      </c>
      <c r="M79" s="94">
        <f>Table20b!M370+Table20b!M374+Table20b!M378+Table20b!M382</f>
        <v>313.01700000000005</v>
      </c>
      <c r="N79" s="92">
        <f>SUM(J79:M79)</f>
        <v>3943.4319999999998</v>
      </c>
      <c r="O79" s="92">
        <f>I79+N79</f>
        <v>10626.733</v>
      </c>
      <c r="Q79" s="93"/>
      <c r="R79" s="93"/>
    </row>
    <row r="80" spans="1:19" x14ac:dyDescent="0.2">
      <c r="A80" s="96">
        <v>2022</v>
      </c>
      <c r="B80" s="94">
        <f>Table20b!B388+Table20b!B392+Table20b!B396+Table20b!B400</f>
        <v>2591.8009999999999</v>
      </c>
      <c r="C80" s="94">
        <f>Table20b!C388+Table20b!C392+Table20b!C396+Table20b!C400</f>
        <v>1188.692</v>
      </c>
      <c r="D80" s="94">
        <f>Table20b!D388+Table20b!D392+Table20b!D396+Table20b!D400</f>
        <v>835.40200000000004</v>
      </c>
      <c r="E80" s="94">
        <f>Table20b!E388+Table20b!E392+Table20b!E396+Table20b!E400</f>
        <v>836.92099999999994</v>
      </c>
      <c r="F80" s="94">
        <f>Table20b!F388+Table20b!F392+Table20b!F396+Table20b!F400</f>
        <v>394.447</v>
      </c>
      <c r="G80" s="94">
        <f>Table20b!G388+Table20b!G392+Table20b!G396+Table20b!G400</f>
        <v>962.52699999999993</v>
      </c>
      <c r="H80" s="94">
        <f>Table20b!H388+Table20b!H392+Table20b!H396+Table20b!H400</f>
        <v>119.08099999999999</v>
      </c>
      <c r="I80" s="92">
        <f>SUM(B80:H80)</f>
        <v>6928.871000000001</v>
      </c>
      <c r="J80" s="94">
        <f>Table20b!J388+Table20b!J392+Table20b!J396+Table20b!J400</f>
        <v>93.741</v>
      </c>
      <c r="K80" s="94">
        <f>Table20b!K388+Table20b!K392+Table20b!K396+Table20b!K400</f>
        <v>2433.9939999999997</v>
      </c>
      <c r="L80" s="94">
        <f>Table20b!L388+Table20b!L392+Table20b!L396+Table20b!L400</f>
        <v>1282.8870000000002</v>
      </c>
      <c r="M80" s="94">
        <f>Table20b!M388+Table20b!M392+Table20b!M396+Table20b!M400</f>
        <v>309.185</v>
      </c>
      <c r="N80" s="92">
        <f>SUM(J80:M80)</f>
        <v>4119.8069999999998</v>
      </c>
      <c r="O80" s="92">
        <f t="shared" si="6"/>
        <v>11048.678</v>
      </c>
      <c r="Q80" s="93"/>
      <c r="R80" s="93"/>
    </row>
    <row r="81" spans="1:18" x14ac:dyDescent="0.2">
      <c r="A81" s="135">
        <v>2023</v>
      </c>
      <c r="B81" s="136">
        <f>Table20b!B406+Table20b!B410+Table20b!B414+Table20b!B418</f>
        <v>2470.4839999999995</v>
      </c>
      <c r="C81" s="136">
        <f>Table20b!C406+Table20b!C410+Table20b!C414+Table20b!C418</f>
        <v>1190.002</v>
      </c>
      <c r="D81" s="136">
        <f>Table20b!D406+Table20b!D410+Table20b!D414+Table20b!D418</f>
        <v>850.48199999999997</v>
      </c>
      <c r="E81" s="136">
        <f>Table20b!E406+Table20b!E410+Table20b!E414+Table20b!E418</f>
        <v>815.74699999999996</v>
      </c>
      <c r="F81" s="136">
        <f>Table20b!F406+Table20b!F410+Table20b!F414+Table20b!F418</f>
        <v>360.86099999999999</v>
      </c>
      <c r="G81" s="136">
        <f>Table20b!G406+Table20b!G410+Table20b!G414+Table20b!G418</f>
        <v>1063.1210000000001</v>
      </c>
      <c r="H81" s="136">
        <f>Table20b!H406+Table20b!H410+Table20b!H414+Table20b!H418</f>
        <v>103.87599999999999</v>
      </c>
      <c r="I81" s="137">
        <f>SUM(B81:H81)</f>
        <v>6854.5729999999994</v>
      </c>
      <c r="J81" s="136">
        <f>Table20b!J406+Table20b!J410+Table20b!J414+Table20b!J418</f>
        <v>91.503</v>
      </c>
      <c r="K81" s="136">
        <f>Table20b!K406+Table20b!K410+Table20b!K414+Table20b!K418</f>
        <v>2256.3890000000001</v>
      </c>
      <c r="L81" s="136">
        <f>Table20b!L406+Table20b!L410+Table20b!L414+Table20b!L418</f>
        <v>1313.2069999999999</v>
      </c>
      <c r="M81" s="136">
        <f>Table20b!M406+Table20b!M410+Table20b!M414+Table20b!M418</f>
        <v>358.78300000000002</v>
      </c>
      <c r="N81" s="137">
        <f>SUM(J81:M81)</f>
        <v>4019.8820000000001</v>
      </c>
      <c r="O81" s="137">
        <f t="shared" ref="O81" si="7">I81+N81</f>
        <v>10874.455</v>
      </c>
      <c r="Q81" s="93"/>
      <c r="R81" s="93"/>
    </row>
    <row r="82" spans="1:18" s="97" customFormat="1" x14ac:dyDescent="0.2">
      <c r="A82" s="33" t="s">
        <v>356</v>
      </c>
    </row>
    <row r="83" spans="1:18" x14ac:dyDescent="0.2">
      <c r="A83" s="12" t="s">
        <v>398</v>
      </c>
      <c r="B83" s="36"/>
      <c r="C83" s="36"/>
      <c r="D83" s="36"/>
      <c r="E83" s="36"/>
      <c r="F83" s="36"/>
      <c r="G83" s="36"/>
      <c r="H83" s="36"/>
      <c r="I83" s="36"/>
      <c r="J83" s="36"/>
      <c r="K83" s="36"/>
    </row>
    <row r="84" spans="1:18" x14ac:dyDescent="0.2">
      <c r="A84" s="12" t="s">
        <v>136</v>
      </c>
      <c r="B84" s="12"/>
      <c r="C84" s="12"/>
      <c r="D84" s="12"/>
      <c r="E84" s="12"/>
      <c r="F84" s="12"/>
      <c r="G84" s="12"/>
      <c r="H84" s="12"/>
      <c r="I84" s="12"/>
      <c r="J84" s="12"/>
      <c r="K84" s="12"/>
      <c r="O84" s="93"/>
    </row>
    <row r="85" spans="1:18" x14ac:dyDescent="0.2">
      <c r="A85" s="12" t="s">
        <v>390</v>
      </c>
      <c r="B85" s="12"/>
      <c r="C85" s="12"/>
      <c r="D85" s="12"/>
      <c r="E85" s="12"/>
      <c r="F85" s="12"/>
      <c r="G85" s="12"/>
      <c r="H85" s="12"/>
      <c r="I85" s="12"/>
      <c r="J85" s="12"/>
      <c r="K85" s="12"/>
      <c r="O85" s="56"/>
    </row>
    <row r="86" spans="1:18" x14ac:dyDescent="0.2">
      <c r="A86" s="86" t="s">
        <v>372</v>
      </c>
    </row>
    <row r="87" spans="1:18" x14ac:dyDescent="0.2">
      <c r="A87" s="100" t="s">
        <v>332</v>
      </c>
    </row>
    <row r="88" spans="1:18" x14ac:dyDescent="0.2">
      <c r="B88" s="89"/>
    </row>
  </sheetData>
  <pageMargins left="0.75" right="0.75" top="1" bottom="1" header="0.5" footer="0.5"/>
  <pageSetup orientation="portrait" r:id="rId1"/>
  <headerFooter alignWithMargins="0"/>
  <ignoredErrors>
    <ignoredError sqref="I60:I77 I7 I28:I55 I56:I59" formulaRange="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F755572-40FA-4B0F-8446-2CFDB7001F0F}">
  <dimension ref="A1:U494"/>
  <sheetViews>
    <sheetView zoomScaleNormal="100" workbookViewId="0">
      <pane xSplit="1" ySplit="5" topLeftCell="B6" activePane="bottomRight" state="frozen"/>
      <selection pane="topRight" activeCell="B1" sqref="B1"/>
      <selection pane="bottomLeft" activeCell="A6" sqref="A6"/>
      <selection pane="bottomRight"/>
    </sheetView>
  </sheetViews>
  <sheetFormatPr defaultRowHeight="11.25" x14ac:dyDescent="0.2"/>
  <cols>
    <col min="1" max="1" width="8.5703125" style="35" customWidth="1"/>
    <col min="2" max="3" width="10.85546875" style="49" customWidth="1"/>
    <col min="4" max="4" width="11" style="49" customWidth="1"/>
    <col min="5" max="5" width="9" style="49" customWidth="1"/>
    <col min="6" max="6" width="9.28515625" style="49" customWidth="1"/>
    <col min="7" max="7" width="7.5703125" style="49" customWidth="1"/>
    <col min="8" max="8" width="9.42578125" style="49" customWidth="1"/>
    <col min="9" max="9" width="9.28515625" style="49" customWidth="1"/>
    <col min="10" max="10" width="10.28515625" style="49" customWidth="1"/>
    <col min="11" max="11" width="11.5703125" style="49" customWidth="1"/>
    <col min="12" max="12" width="9" style="49" customWidth="1"/>
    <col min="13" max="13" width="7.42578125" style="49" customWidth="1"/>
    <col min="14" max="14" width="9.85546875" style="49" customWidth="1"/>
    <col min="15" max="15" width="23.140625" style="49" bestFit="1" customWidth="1"/>
    <col min="16" max="256" width="9.140625" style="97"/>
    <col min="257" max="257" width="8.5703125" style="97" customWidth="1"/>
    <col min="258" max="259" width="10.85546875" style="97" customWidth="1"/>
    <col min="260" max="260" width="11" style="97" customWidth="1"/>
    <col min="261" max="261" width="9" style="97" customWidth="1"/>
    <col min="262" max="262" width="9.28515625" style="97" customWidth="1"/>
    <col min="263" max="263" width="7.5703125" style="97" customWidth="1"/>
    <col min="264" max="264" width="9.42578125" style="97" customWidth="1"/>
    <col min="265" max="265" width="9.28515625" style="97" customWidth="1"/>
    <col min="266" max="266" width="10.28515625" style="97" customWidth="1"/>
    <col min="267" max="267" width="11.5703125" style="97" customWidth="1"/>
    <col min="268" max="268" width="9" style="97" customWidth="1"/>
    <col min="269" max="269" width="7.42578125" style="97" customWidth="1"/>
    <col min="270" max="270" width="9.85546875" style="97" customWidth="1"/>
    <col min="271" max="271" width="23.140625" style="97" bestFit="1" customWidth="1"/>
    <col min="272" max="512" width="9.140625" style="97"/>
    <col min="513" max="513" width="8.5703125" style="97" customWidth="1"/>
    <col min="514" max="515" width="10.85546875" style="97" customWidth="1"/>
    <col min="516" max="516" width="11" style="97" customWidth="1"/>
    <col min="517" max="517" width="9" style="97" customWidth="1"/>
    <col min="518" max="518" width="9.28515625" style="97" customWidth="1"/>
    <col min="519" max="519" width="7.5703125" style="97" customWidth="1"/>
    <col min="520" max="520" width="9.42578125" style="97" customWidth="1"/>
    <col min="521" max="521" width="9.28515625" style="97" customWidth="1"/>
    <col min="522" max="522" width="10.28515625" style="97" customWidth="1"/>
    <col min="523" max="523" width="11.5703125" style="97" customWidth="1"/>
    <col min="524" max="524" width="9" style="97" customWidth="1"/>
    <col min="525" max="525" width="7.42578125" style="97" customWidth="1"/>
    <col min="526" max="526" width="9.85546875" style="97" customWidth="1"/>
    <col min="527" max="527" width="23.140625" style="97" bestFit="1" customWidth="1"/>
    <col min="528" max="768" width="9.140625" style="97"/>
    <col min="769" max="769" width="8.5703125" style="97" customWidth="1"/>
    <col min="770" max="771" width="10.85546875" style="97" customWidth="1"/>
    <col min="772" max="772" width="11" style="97" customWidth="1"/>
    <col min="773" max="773" width="9" style="97" customWidth="1"/>
    <col min="774" max="774" width="9.28515625" style="97" customWidth="1"/>
    <col min="775" max="775" width="7.5703125" style="97" customWidth="1"/>
    <col min="776" max="776" width="9.42578125" style="97" customWidth="1"/>
    <col min="777" max="777" width="9.28515625" style="97" customWidth="1"/>
    <col min="778" max="778" width="10.28515625" style="97" customWidth="1"/>
    <col min="779" max="779" width="11.5703125" style="97" customWidth="1"/>
    <col min="780" max="780" width="9" style="97" customWidth="1"/>
    <col min="781" max="781" width="7.42578125" style="97" customWidth="1"/>
    <col min="782" max="782" width="9.85546875" style="97" customWidth="1"/>
    <col min="783" max="783" width="23.140625" style="97" bestFit="1" customWidth="1"/>
    <col min="784" max="1024" width="9.140625" style="97"/>
    <col min="1025" max="1025" width="8.5703125" style="97" customWidth="1"/>
    <col min="1026" max="1027" width="10.85546875" style="97" customWidth="1"/>
    <col min="1028" max="1028" width="11" style="97" customWidth="1"/>
    <col min="1029" max="1029" width="9" style="97" customWidth="1"/>
    <col min="1030" max="1030" width="9.28515625" style="97" customWidth="1"/>
    <col min="1031" max="1031" width="7.5703125" style="97" customWidth="1"/>
    <col min="1032" max="1032" width="9.42578125" style="97" customWidth="1"/>
    <col min="1033" max="1033" width="9.28515625" style="97" customWidth="1"/>
    <col min="1034" max="1034" width="10.28515625" style="97" customWidth="1"/>
    <col min="1035" max="1035" width="11.5703125" style="97" customWidth="1"/>
    <col min="1036" max="1036" width="9" style="97" customWidth="1"/>
    <col min="1037" max="1037" width="7.42578125" style="97" customWidth="1"/>
    <col min="1038" max="1038" width="9.85546875" style="97" customWidth="1"/>
    <col min="1039" max="1039" width="23.140625" style="97" bestFit="1" customWidth="1"/>
    <col min="1040" max="1280" width="9.140625" style="97"/>
    <col min="1281" max="1281" width="8.5703125" style="97" customWidth="1"/>
    <col min="1282" max="1283" width="10.85546875" style="97" customWidth="1"/>
    <col min="1284" max="1284" width="11" style="97" customWidth="1"/>
    <col min="1285" max="1285" width="9" style="97" customWidth="1"/>
    <col min="1286" max="1286" width="9.28515625" style="97" customWidth="1"/>
    <col min="1287" max="1287" width="7.5703125" style="97" customWidth="1"/>
    <col min="1288" max="1288" width="9.42578125" style="97" customWidth="1"/>
    <col min="1289" max="1289" width="9.28515625" style="97" customWidth="1"/>
    <col min="1290" max="1290" width="10.28515625" style="97" customWidth="1"/>
    <col min="1291" max="1291" width="11.5703125" style="97" customWidth="1"/>
    <col min="1292" max="1292" width="9" style="97" customWidth="1"/>
    <col min="1293" max="1293" width="7.42578125" style="97" customWidth="1"/>
    <col min="1294" max="1294" width="9.85546875" style="97" customWidth="1"/>
    <col min="1295" max="1295" width="23.140625" style="97" bestFit="1" customWidth="1"/>
    <col min="1296" max="1536" width="9.140625" style="97"/>
    <col min="1537" max="1537" width="8.5703125" style="97" customWidth="1"/>
    <col min="1538" max="1539" width="10.85546875" style="97" customWidth="1"/>
    <col min="1540" max="1540" width="11" style="97" customWidth="1"/>
    <col min="1541" max="1541" width="9" style="97" customWidth="1"/>
    <col min="1542" max="1542" width="9.28515625" style="97" customWidth="1"/>
    <col min="1543" max="1543" width="7.5703125" style="97" customWidth="1"/>
    <col min="1544" max="1544" width="9.42578125" style="97" customWidth="1"/>
    <col min="1545" max="1545" width="9.28515625" style="97" customWidth="1"/>
    <col min="1546" max="1546" width="10.28515625" style="97" customWidth="1"/>
    <col min="1547" max="1547" width="11.5703125" style="97" customWidth="1"/>
    <col min="1548" max="1548" width="9" style="97" customWidth="1"/>
    <col min="1549" max="1549" width="7.42578125" style="97" customWidth="1"/>
    <col min="1550" max="1550" width="9.85546875" style="97" customWidth="1"/>
    <col min="1551" max="1551" width="23.140625" style="97" bestFit="1" customWidth="1"/>
    <col min="1552" max="1792" width="9.140625" style="97"/>
    <col min="1793" max="1793" width="8.5703125" style="97" customWidth="1"/>
    <col min="1794" max="1795" width="10.85546875" style="97" customWidth="1"/>
    <col min="1796" max="1796" width="11" style="97" customWidth="1"/>
    <col min="1797" max="1797" width="9" style="97" customWidth="1"/>
    <col min="1798" max="1798" width="9.28515625" style="97" customWidth="1"/>
    <col min="1799" max="1799" width="7.5703125" style="97" customWidth="1"/>
    <col min="1800" max="1800" width="9.42578125" style="97" customWidth="1"/>
    <col min="1801" max="1801" width="9.28515625" style="97" customWidth="1"/>
    <col min="1802" max="1802" width="10.28515625" style="97" customWidth="1"/>
    <col min="1803" max="1803" width="11.5703125" style="97" customWidth="1"/>
    <col min="1804" max="1804" width="9" style="97" customWidth="1"/>
    <col min="1805" max="1805" width="7.42578125" style="97" customWidth="1"/>
    <col min="1806" max="1806" width="9.85546875" style="97" customWidth="1"/>
    <col min="1807" max="1807" width="23.140625" style="97" bestFit="1" customWidth="1"/>
    <col min="1808" max="2048" width="9.140625" style="97"/>
    <col min="2049" max="2049" width="8.5703125" style="97" customWidth="1"/>
    <col min="2050" max="2051" width="10.85546875" style="97" customWidth="1"/>
    <col min="2052" max="2052" width="11" style="97" customWidth="1"/>
    <col min="2053" max="2053" width="9" style="97" customWidth="1"/>
    <col min="2054" max="2054" width="9.28515625" style="97" customWidth="1"/>
    <col min="2055" max="2055" width="7.5703125" style="97" customWidth="1"/>
    <col min="2056" max="2056" width="9.42578125" style="97" customWidth="1"/>
    <col min="2057" max="2057" width="9.28515625" style="97" customWidth="1"/>
    <col min="2058" max="2058" width="10.28515625" style="97" customWidth="1"/>
    <col min="2059" max="2059" width="11.5703125" style="97" customWidth="1"/>
    <col min="2060" max="2060" width="9" style="97" customWidth="1"/>
    <col min="2061" max="2061" width="7.42578125" style="97" customWidth="1"/>
    <col min="2062" max="2062" width="9.85546875" style="97" customWidth="1"/>
    <col min="2063" max="2063" width="23.140625" style="97" bestFit="1" customWidth="1"/>
    <col min="2064" max="2304" width="9.140625" style="97"/>
    <col min="2305" max="2305" width="8.5703125" style="97" customWidth="1"/>
    <col min="2306" max="2307" width="10.85546875" style="97" customWidth="1"/>
    <col min="2308" max="2308" width="11" style="97" customWidth="1"/>
    <col min="2309" max="2309" width="9" style="97" customWidth="1"/>
    <col min="2310" max="2310" width="9.28515625" style="97" customWidth="1"/>
    <col min="2311" max="2311" width="7.5703125" style="97" customWidth="1"/>
    <col min="2312" max="2312" width="9.42578125" style="97" customWidth="1"/>
    <col min="2313" max="2313" width="9.28515625" style="97" customWidth="1"/>
    <col min="2314" max="2314" width="10.28515625" style="97" customWidth="1"/>
    <col min="2315" max="2315" width="11.5703125" style="97" customWidth="1"/>
    <col min="2316" max="2316" width="9" style="97" customWidth="1"/>
    <col min="2317" max="2317" width="7.42578125" style="97" customWidth="1"/>
    <col min="2318" max="2318" width="9.85546875" style="97" customWidth="1"/>
    <col min="2319" max="2319" width="23.140625" style="97" bestFit="1" customWidth="1"/>
    <col min="2320" max="2560" width="9.140625" style="97"/>
    <col min="2561" max="2561" width="8.5703125" style="97" customWidth="1"/>
    <col min="2562" max="2563" width="10.85546875" style="97" customWidth="1"/>
    <col min="2564" max="2564" width="11" style="97" customWidth="1"/>
    <col min="2565" max="2565" width="9" style="97" customWidth="1"/>
    <col min="2566" max="2566" width="9.28515625" style="97" customWidth="1"/>
    <col min="2567" max="2567" width="7.5703125" style="97" customWidth="1"/>
    <col min="2568" max="2568" width="9.42578125" style="97" customWidth="1"/>
    <col min="2569" max="2569" width="9.28515625" style="97" customWidth="1"/>
    <col min="2570" max="2570" width="10.28515625" style="97" customWidth="1"/>
    <col min="2571" max="2571" width="11.5703125" style="97" customWidth="1"/>
    <col min="2572" max="2572" width="9" style="97" customWidth="1"/>
    <col min="2573" max="2573" width="7.42578125" style="97" customWidth="1"/>
    <col min="2574" max="2574" width="9.85546875" style="97" customWidth="1"/>
    <col min="2575" max="2575" width="23.140625" style="97" bestFit="1" customWidth="1"/>
    <col min="2576" max="2816" width="9.140625" style="97"/>
    <col min="2817" max="2817" width="8.5703125" style="97" customWidth="1"/>
    <col min="2818" max="2819" width="10.85546875" style="97" customWidth="1"/>
    <col min="2820" max="2820" width="11" style="97" customWidth="1"/>
    <col min="2821" max="2821" width="9" style="97" customWidth="1"/>
    <col min="2822" max="2822" width="9.28515625" style="97" customWidth="1"/>
    <col min="2823" max="2823" width="7.5703125" style="97" customWidth="1"/>
    <col min="2824" max="2824" width="9.42578125" style="97" customWidth="1"/>
    <col min="2825" max="2825" width="9.28515625" style="97" customWidth="1"/>
    <col min="2826" max="2826" width="10.28515625" style="97" customWidth="1"/>
    <col min="2827" max="2827" width="11.5703125" style="97" customWidth="1"/>
    <col min="2828" max="2828" width="9" style="97" customWidth="1"/>
    <col min="2829" max="2829" width="7.42578125" style="97" customWidth="1"/>
    <col min="2830" max="2830" width="9.85546875" style="97" customWidth="1"/>
    <col min="2831" max="2831" width="23.140625" style="97" bestFit="1" customWidth="1"/>
    <col min="2832" max="3072" width="9.140625" style="97"/>
    <col min="3073" max="3073" width="8.5703125" style="97" customWidth="1"/>
    <col min="3074" max="3075" width="10.85546875" style="97" customWidth="1"/>
    <col min="3076" max="3076" width="11" style="97" customWidth="1"/>
    <col min="3077" max="3077" width="9" style="97" customWidth="1"/>
    <col min="3078" max="3078" width="9.28515625" style="97" customWidth="1"/>
    <col min="3079" max="3079" width="7.5703125" style="97" customWidth="1"/>
    <col min="3080" max="3080" width="9.42578125" style="97" customWidth="1"/>
    <col min="3081" max="3081" width="9.28515625" style="97" customWidth="1"/>
    <col min="3082" max="3082" width="10.28515625" style="97" customWidth="1"/>
    <col min="3083" max="3083" width="11.5703125" style="97" customWidth="1"/>
    <col min="3084" max="3084" width="9" style="97" customWidth="1"/>
    <col min="3085" max="3085" width="7.42578125" style="97" customWidth="1"/>
    <col min="3086" max="3086" width="9.85546875" style="97" customWidth="1"/>
    <col min="3087" max="3087" width="23.140625" style="97" bestFit="1" customWidth="1"/>
    <col min="3088" max="3328" width="9.140625" style="97"/>
    <col min="3329" max="3329" width="8.5703125" style="97" customWidth="1"/>
    <col min="3330" max="3331" width="10.85546875" style="97" customWidth="1"/>
    <col min="3332" max="3332" width="11" style="97" customWidth="1"/>
    <col min="3333" max="3333" width="9" style="97" customWidth="1"/>
    <col min="3334" max="3334" width="9.28515625" style="97" customWidth="1"/>
    <col min="3335" max="3335" width="7.5703125" style="97" customWidth="1"/>
    <col min="3336" max="3336" width="9.42578125" style="97" customWidth="1"/>
    <col min="3337" max="3337" width="9.28515625" style="97" customWidth="1"/>
    <col min="3338" max="3338" width="10.28515625" style="97" customWidth="1"/>
    <col min="3339" max="3339" width="11.5703125" style="97" customWidth="1"/>
    <col min="3340" max="3340" width="9" style="97" customWidth="1"/>
    <col min="3341" max="3341" width="7.42578125" style="97" customWidth="1"/>
    <col min="3342" max="3342" width="9.85546875" style="97" customWidth="1"/>
    <col min="3343" max="3343" width="23.140625" style="97" bestFit="1" customWidth="1"/>
    <col min="3344" max="3584" width="9.140625" style="97"/>
    <col min="3585" max="3585" width="8.5703125" style="97" customWidth="1"/>
    <col min="3586" max="3587" width="10.85546875" style="97" customWidth="1"/>
    <col min="3588" max="3588" width="11" style="97" customWidth="1"/>
    <col min="3589" max="3589" width="9" style="97" customWidth="1"/>
    <col min="3590" max="3590" width="9.28515625" style="97" customWidth="1"/>
    <col min="3591" max="3591" width="7.5703125" style="97" customWidth="1"/>
    <col min="3592" max="3592" width="9.42578125" style="97" customWidth="1"/>
    <col min="3593" max="3593" width="9.28515625" style="97" customWidth="1"/>
    <col min="3594" max="3594" width="10.28515625" style="97" customWidth="1"/>
    <col min="3595" max="3595" width="11.5703125" style="97" customWidth="1"/>
    <col min="3596" max="3596" width="9" style="97" customWidth="1"/>
    <col min="3597" max="3597" width="7.42578125" style="97" customWidth="1"/>
    <col min="3598" max="3598" width="9.85546875" style="97" customWidth="1"/>
    <col min="3599" max="3599" width="23.140625" style="97" bestFit="1" customWidth="1"/>
    <col min="3600" max="3840" width="9.140625" style="97"/>
    <col min="3841" max="3841" width="8.5703125" style="97" customWidth="1"/>
    <col min="3842" max="3843" width="10.85546875" style="97" customWidth="1"/>
    <col min="3844" max="3844" width="11" style="97" customWidth="1"/>
    <col min="3845" max="3845" width="9" style="97" customWidth="1"/>
    <col min="3846" max="3846" width="9.28515625" style="97" customWidth="1"/>
    <col min="3847" max="3847" width="7.5703125" style="97" customWidth="1"/>
    <col min="3848" max="3848" width="9.42578125" style="97" customWidth="1"/>
    <col min="3849" max="3849" width="9.28515625" style="97" customWidth="1"/>
    <col min="3850" max="3850" width="10.28515625" style="97" customWidth="1"/>
    <col min="3851" max="3851" width="11.5703125" style="97" customWidth="1"/>
    <col min="3852" max="3852" width="9" style="97" customWidth="1"/>
    <col min="3853" max="3853" width="7.42578125" style="97" customWidth="1"/>
    <col min="3854" max="3854" width="9.85546875" style="97" customWidth="1"/>
    <col min="3855" max="3855" width="23.140625" style="97" bestFit="1" customWidth="1"/>
    <col min="3856" max="4096" width="9.140625" style="97"/>
    <col min="4097" max="4097" width="8.5703125" style="97" customWidth="1"/>
    <col min="4098" max="4099" width="10.85546875" style="97" customWidth="1"/>
    <col min="4100" max="4100" width="11" style="97" customWidth="1"/>
    <col min="4101" max="4101" width="9" style="97" customWidth="1"/>
    <col min="4102" max="4102" width="9.28515625" style="97" customWidth="1"/>
    <col min="4103" max="4103" width="7.5703125" style="97" customWidth="1"/>
    <col min="4104" max="4104" width="9.42578125" style="97" customWidth="1"/>
    <col min="4105" max="4105" width="9.28515625" style="97" customWidth="1"/>
    <col min="4106" max="4106" width="10.28515625" style="97" customWidth="1"/>
    <col min="4107" max="4107" width="11.5703125" style="97" customWidth="1"/>
    <col min="4108" max="4108" width="9" style="97" customWidth="1"/>
    <col min="4109" max="4109" width="7.42578125" style="97" customWidth="1"/>
    <col min="4110" max="4110" width="9.85546875" style="97" customWidth="1"/>
    <col min="4111" max="4111" width="23.140625" style="97" bestFit="1" customWidth="1"/>
    <col min="4112" max="4352" width="9.140625" style="97"/>
    <col min="4353" max="4353" width="8.5703125" style="97" customWidth="1"/>
    <col min="4354" max="4355" width="10.85546875" style="97" customWidth="1"/>
    <col min="4356" max="4356" width="11" style="97" customWidth="1"/>
    <col min="4357" max="4357" width="9" style="97" customWidth="1"/>
    <col min="4358" max="4358" width="9.28515625" style="97" customWidth="1"/>
    <col min="4359" max="4359" width="7.5703125" style="97" customWidth="1"/>
    <col min="4360" max="4360" width="9.42578125" style="97" customWidth="1"/>
    <col min="4361" max="4361" width="9.28515625" style="97" customWidth="1"/>
    <col min="4362" max="4362" width="10.28515625" style="97" customWidth="1"/>
    <col min="4363" max="4363" width="11.5703125" style="97" customWidth="1"/>
    <col min="4364" max="4364" width="9" style="97" customWidth="1"/>
    <col min="4365" max="4365" width="7.42578125" style="97" customWidth="1"/>
    <col min="4366" max="4366" width="9.85546875" style="97" customWidth="1"/>
    <col min="4367" max="4367" width="23.140625" style="97" bestFit="1" customWidth="1"/>
    <col min="4368" max="4608" width="9.140625" style="97"/>
    <col min="4609" max="4609" width="8.5703125" style="97" customWidth="1"/>
    <col min="4610" max="4611" width="10.85546875" style="97" customWidth="1"/>
    <col min="4612" max="4612" width="11" style="97" customWidth="1"/>
    <col min="4613" max="4613" width="9" style="97" customWidth="1"/>
    <col min="4614" max="4614" width="9.28515625" style="97" customWidth="1"/>
    <col min="4615" max="4615" width="7.5703125" style="97" customWidth="1"/>
    <col min="4616" max="4616" width="9.42578125" style="97" customWidth="1"/>
    <col min="4617" max="4617" width="9.28515625" style="97" customWidth="1"/>
    <col min="4618" max="4618" width="10.28515625" style="97" customWidth="1"/>
    <col min="4619" max="4619" width="11.5703125" style="97" customWidth="1"/>
    <col min="4620" max="4620" width="9" style="97" customWidth="1"/>
    <col min="4621" max="4621" width="7.42578125" style="97" customWidth="1"/>
    <col min="4622" max="4622" width="9.85546875" style="97" customWidth="1"/>
    <col min="4623" max="4623" width="23.140625" style="97" bestFit="1" customWidth="1"/>
    <col min="4624" max="4864" width="9.140625" style="97"/>
    <col min="4865" max="4865" width="8.5703125" style="97" customWidth="1"/>
    <col min="4866" max="4867" width="10.85546875" style="97" customWidth="1"/>
    <col min="4868" max="4868" width="11" style="97" customWidth="1"/>
    <col min="4869" max="4869" width="9" style="97" customWidth="1"/>
    <col min="4870" max="4870" width="9.28515625" style="97" customWidth="1"/>
    <col min="4871" max="4871" width="7.5703125" style="97" customWidth="1"/>
    <col min="4872" max="4872" width="9.42578125" style="97" customWidth="1"/>
    <col min="4873" max="4873" width="9.28515625" style="97" customWidth="1"/>
    <col min="4874" max="4874" width="10.28515625" style="97" customWidth="1"/>
    <col min="4875" max="4875" width="11.5703125" style="97" customWidth="1"/>
    <col min="4876" max="4876" width="9" style="97" customWidth="1"/>
    <col min="4877" max="4877" width="7.42578125" style="97" customWidth="1"/>
    <col min="4878" max="4878" width="9.85546875" style="97" customWidth="1"/>
    <col min="4879" max="4879" width="23.140625" style="97" bestFit="1" customWidth="1"/>
    <col min="4880" max="5120" width="9.140625" style="97"/>
    <col min="5121" max="5121" width="8.5703125" style="97" customWidth="1"/>
    <col min="5122" max="5123" width="10.85546875" style="97" customWidth="1"/>
    <col min="5124" max="5124" width="11" style="97" customWidth="1"/>
    <col min="5125" max="5125" width="9" style="97" customWidth="1"/>
    <col min="5126" max="5126" width="9.28515625" style="97" customWidth="1"/>
    <col min="5127" max="5127" width="7.5703125" style="97" customWidth="1"/>
    <col min="5128" max="5128" width="9.42578125" style="97" customWidth="1"/>
    <col min="5129" max="5129" width="9.28515625" style="97" customWidth="1"/>
    <col min="5130" max="5130" width="10.28515625" style="97" customWidth="1"/>
    <col min="5131" max="5131" width="11.5703125" style="97" customWidth="1"/>
    <col min="5132" max="5132" width="9" style="97" customWidth="1"/>
    <col min="5133" max="5133" width="7.42578125" style="97" customWidth="1"/>
    <col min="5134" max="5134" width="9.85546875" style="97" customWidth="1"/>
    <col min="5135" max="5135" width="23.140625" style="97" bestFit="1" customWidth="1"/>
    <col min="5136" max="5376" width="9.140625" style="97"/>
    <col min="5377" max="5377" width="8.5703125" style="97" customWidth="1"/>
    <col min="5378" max="5379" width="10.85546875" style="97" customWidth="1"/>
    <col min="5380" max="5380" width="11" style="97" customWidth="1"/>
    <col min="5381" max="5381" width="9" style="97" customWidth="1"/>
    <col min="5382" max="5382" width="9.28515625" style="97" customWidth="1"/>
    <col min="5383" max="5383" width="7.5703125" style="97" customWidth="1"/>
    <col min="5384" max="5384" width="9.42578125" style="97" customWidth="1"/>
    <col min="5385" max="5385" width="9.28515625" style="97" customWidth="1"/>
    <col min="5386" max="5386" width="10.28515625" style="97" customWidth="1"/>
    <col min="5387" max="5387" width="11.5703125" style="97" customWidth="1"/>
    <col min="5388" max="5388" width="9" style="97" customWidth="1"/>
    <col min="5389" max="5389" width="7.42578125" style="97" customWidth="1"/>
    <col min="5390" max="5390" width="9.85546875" style="97" customWidth="1"/>
    <col min="5391" max="5391" width="23.140625" style="97" bestFit="1" customWidth="1"/>
    <col min="5392" max="5632" width="9.140625" style="97"/>
    <col min="5633" max="5633" width="8.5703125" style="97" customWidth="1"/>
    <col min="5634" max="5635" width="10.85546875" style="97" customWidth="1"/>
    <col min="5636" max="5636" width="11" style="97" customWidth="1"/>
    <col min="5637" max="5637" width="9" style="97" customWidth="1"/>
    <col min="5638" max="5638" width="9.28515625" style="97" customWidth="1"/>
    <col min="5639" max="5639" width="7.5703125" style="97" customWidth="1"/>
    <col min="5640" max="5640" width="9.42578125" style="97" customWidth="1"/>
    <col min="5641" max="5641" width="9.28515625" style="97" customWidth="1"/>
    <col min="5642" max="5642" width="10.28515625" style="97" customWidth="1"/>
    <col min="5643" max="5643" width="11.5703125" style="97" customWidth="1"/>
    <col min="5644" max="5644" width="9" style="97" customWidth="1"/>
    <col min="5645" max="5645" width="7.42578125" style="97" customWidth="1"/>
    <col min="5646" max="5646" width="9.85546875" style="97" customWidth="1"/>
    <col min="5647" max="5647" width="23.140625" style="97" bestFit="1" customWidth="1"/>
    <col min="5648" max="5888" width="9.140625" style="97"/>
    <col min="5889" max="5889" width="8.5703125" style="97" customWidth="1"/>
    <col min="5890" max="5891" width="10.85546875" style="97" customWidth="1"/>
    <col min="5892" max="5892" width="11" style="97" customWidth="1"/>
    <col min="5893" max="5893" width="9" style="97" customWidth="1"/>
    <col min="5894" max="5894" width="9.28515625" style="97" customWidth="1"/>
    <col min="5895" max="5895" width="7.5703125" style="97" customWidth="1"/>
    <col min="5896" max="5896" width="9.42578125" style="97" customWidth="1"/>
    <col min="5897" max="5897" width="9.28515625" style="97" customWidth="1"/>
    <col min="5898" max="5898" width="10.28515625" style="97" customWidth="1"/>
    <col min="5899" max="5899" width="11.5703125" style="97" customWidth="1"/>
    <col min="5900" max="5900" width="9" style="97" customWidth="1"/>
    <col min="5901" max="5901" width="7.42578125" style="97" customWidth="1"/>
    <col min="5902" max="5902" width="9.85546875" style="97" customWidth="1"/>
    <col min="5903" max="5903" width="23.140625" style="97" bestFit="1" customWidth="1"/>
    <col min="5904" max="6144" width="9.140625" style="97"/>
    <col min="6145" max="6145" width="8.5703125" style="97" customWidth="1"/>
    <col min="6146" max="6147" width="10.85546875" style="97" customWidth="1"/>
    <col min="6148" max="6148" width="11" style="97" customWidth="1"/>
    <col min="6149" max="6149" width="9" style="97" customWidth="1"/>
    <col min="6150" max="6150" width="9.28515625" style="97" customWidth="1"/>
    <col min="6151" max="6151" width="7.5703125" style="97" customWidth="1"/>
    <col min="6152" max="6152" width="9.42578125" style="97" customWidth="1"/>
    <col min="6153" max="6153" width="9.28515625" style="97" customWidth="1"/>
    <col min="6154" max="6154" width="10.28515625" style="97" customWidth="1"/>
    <col min="6155" max="6155" width="11.5703125" style="97" customWidth="1"/>
    <col min="6156" max="6156" width="9" style="97" customWidth="1"/>
    <col min="6157" max="6157" width="7.42578125" style="97" customWidth="1"/>
    <col min="6158" max="6158" width="9.85546875" style="97" customWidth="1"/>
    <col min="6159" max="6159" width="23.140625" style="97" bestFit="1" customWidth="1"/>
    <col min="6160" max="6400" width="9.140625" style="97"/>
    <col min="6401" max="6401" width="8.5703125" style="97" customWidth="1"/>
    <col min="6402" max="6403" width="10.85546875" style="97" customWidth="1"/>
    <col min="6404" max="6404" width="11" style="97" customWidth="1"/>
    <col min="6405" max="6405" width="9" style="97" customWidth="1"/>
    <col min="6406" max="6406" width="9.28515625" style="97" customWidth="1"/>
    <col min="6407" max="6407" width="7.5703125" style="97" customWidth="1"/>
    <col min="6408" max="6408" width="9.42578125" style="97" customWidth="1"/>
    <col min="6409" max="6409" width="9.28515625" style="97" customWidth="1"/>
    <col min="6410" max="6410" width="10.28515625" style="97" customWidth="1"/>
    <col min="6411" max="6411" width="11.5703125" style="97" customWidth="1"/>
    <col min="6412" max="6412" width="9" style="97" customWidth="1"/>
    <col min="6413" max="6413" width="7.42578125" style="97" customWidth="1"/>
    <col min="6414" max="6414" width="9.85546875" style="97" customWidth="1"/>
    <col min="6415" max="6415" width="23.140625" style="97" bestFit="1" customWidth="1"/>
    <col min="6416" max="6656" width="9.140625" style="97"/>
    <col min="6657" max="6657" width="8.5703125" style="97" customWidth="1"/>
    <col min="6658" max="6659" width="10.85546875" style="97" customWidth="1"/>
    <col min="6660" max="6660" width="11" style="97" customWidth="1"/>
    <col min="6661" max="6661" width="9" style="97" customWidth="1"/>
    <col min="6662" max="6662" width="9.28515625" style="97" customWidth="1"/>
    <col min="6663" max="6663" width="7.5703125" style="97" customWidth="1"/>
    <col min="6664" max="6664" width="9.42578125" style="97" customWidth="1"/>
    <col min="6665" max="6665" width="9.28515625" style="97" customWidth="1"/>
    <col min="6666" max="6666" width="10.28515625" style="97" customWidth="1"/>
    <col min="6667" max="6667" width="11.5703125" style="97" customWidth="1"/>
    <col min="6668" max="6668" width="9" style="97" customWidth="1"/>
    <col min="6669" max="6669" width="7.42578125" style="97" customWidth="1"/>
    <col min="6670" max="6670" width="9.85546875" style="97" customWidth="1"/>
    <col min="6671" max="6671" width="23.140625" style="97" bestFit="1" customWidth="1"/>
    <col min="6672" max="6912" width="9.140625" style="97"/>
    <col min="6913" max="6913" width="8.5703125" style="97" customWidth="1"/>
    <col min="6914" max="6915" width="10.85546875" style="97" customWidth="1"/>
    <col min="6916" max="6916" width="11" style="97" customWidth="1"/>
    <col min="6917" max="6917" width="9" style="97" customWidth="1"/>
    <col min="6918" max="6918" width="9.28515625" style="97" customWidth="1"/>
    <col min="6919" max="6919" width="7.5703125" style="97" customWidth="1"/>
    <col min="6920" max="6920" width="9.42578125" style="97" customWidth="1"/>
    <col min="6921" max="6921" width="9.28515625" style="97" customWidth="1"/>
    <col min="6922" max="6922" width="10.28515625" style="97" customWidth="1"/>
    <col min="6923" max="6923" width="11.5703125" style="97" customWidth="1"/>
    <col min="6924" max="6924" width="9" style="97" customWidth="1"/>
    <col min="6925" max="6925" width="7.42578125" style="97" customWidth="1"/>
    <col min="6926" max="6926" width="9.85546875" style="97" customWidth="1"/>
    <col min="6927" max="6927" width="23.140625" style="97" bestFit="1" customWidth="1"/>
    <col min="6928" max="7168" width="9.140625" style="97"/>
    <col min="7169" max="7169" width="8.5703125" style="97" customWidth="1"/>
    <col min="7170" max="7171" width="10.85546875" style="97" customWidth="1"/>
    <col min="7172" max="7172" width="11" style="97" customWidth="1"/>
    <col min="7173" max="7173" width="9" style="97" customWidth="1"/>
    <col min="7174" max="7174" width="9.28515625" style="97" customWidth="1"/>
    <col min="7175" max="7175" width="7.5703125" style="97" customWidth="1"/>
    <col min="7176" max="7176" width="9.42578125" style="97" customWidth="1"/>
    <col min="7177" max="7177" width="9.28515625" style="97" customWidth="1"/>
    <col min="7178" max="7178" width="10.28515625" style="97" customWidth="1"/>
    <col min="7179" max="7179" width="11.5703125" style="97" customWidth="1"/>
    <col min="7180" max="7180" width="9" style="97" customWidth="1"/>
    <col min="7181" max="7181" width="7.42578125" style="97" customWidth="1"/>
    <col min="7182" max="7182" width="9.85546875" style="97" customWidth="1"/>
    <col min="7183" max="7183" width="23.140625" style="97" bestFit="1" customWidth="1"/>
    <col min="7184" max="7424" width="9.140625" style="97"/>
    <col min="7425" max="7425" width="8.5703125" style="97" customWidth="1"/>
    <col min="7426" max="7427" width="10.85546875" style="97" customWidth="1"/>
    <col min="7428" max="7428" width="11" style="97" customWidth="1"/>
    <col min="7429" max="7429" width="9" style="97" customWidth="1"/>
    <col min="7430" max="7430" width="9.28515625" style="97" customWidth="1"/>
    <col min="7431" max="7431" width="7.5703125" style="97" customWidth="1"/>
    <col min="7432" max="7432" width="9.42578125" style="97" customWidth="1"/>
    <col min="7433" max="7433" width="9.28515625" style="97" customWidth="1"/>
    <col min="7434" max="7434" width="10.28515625" style="97" customWidth="1"/>
    <col min="7435" max="7435" width="11.5703125" style="97" customWidth="1"/>
    <col min="7436" max="7436" width="9" style="97" customWidth="1"/>
    <col min="7437" max="7437" width="7.42578125" style="97" customWidth="1"/>
    <col min="7438" max="7438" width="9.85546875" style="97" customWidth="1"/>
    <col min="7439" max="7439" width="23.140625" style="97" bestFit="1" customWidth="1"/>
    <col min="7440" max="7680" width="9.140625" style="97"/>
    <col min="7681" max="7681" width="8.5703125" style="97" customWidth="1"/>
    <col min="7682" max="7683" width="10.85546875" style="97" customWidth="1"/>
    <col min="7684" max="7684" width="11" style="97" customWidth="1"/>
    <col min="7685" max="7685" width="9" style="97" customWidth="1"/>
    <col min="7686" max="7686" width="9.28515625" style="97" customWidth="1"/>
    <col min="7687" max="7687" width="7.5703125" style="97" customWidth="1"/>
    <col min="7688" max="7688" width="9.42578125" style="97" customWidth="1"/>
    <col min="7689" max="7689" width="9.28515625" style="97" customWidth="1"/>
    <col min="7690" max="7690" width="10.28515625" style="97" customWidth="1"/>
    <col min="7691" max="7691" width="11.5703125" style="97" customWidth="1"/>
    <col min="7692" max="7692" width="9" style="97" customWidth="1"/>
    <col min="7693" max="7693" width="7.42578125" style="97" customWidth="1"/>
    <col min="7694" max="7694" width="9.85546875" style="97" customWidth="1"/>
    <col min="7695" max="7695" width="23.140625" style="97" bestFit="1" customWidth="1"/>
    <col min="7696" max="7936" width="9.140625" style="97"/>
    <col min="7937" max="7937" width="8.5703125" style="97" customWidth="1"/>
    <col min="7938" max="7939" width="10.85546875" style="97" customWidth="1"/>
    <col min="7940" max="7940" width="11" style="97" customWidth="1"/>
    <col min="7941" max="7941" width="9" style="97" customWidth="1"/>
    <col min="7942" max="7942" width="9.28515625" style="97" customWidth="1"/>
    <col min="7943" max="7943" width="7.5703125" style="97" customWidth="1"/>
    <col min="7944" max="7944" width="9.42578125" style="97" customWidth="1"/>
    <col min="7945" max="7945" width="9.28515625" style="97" customWidth="1"/>
    <col min="7946" max="7946" width="10.28515625" style="97" customWidth="1"/>
    <col min="7947" max="7947" width="11.5703125" style="97" customWidth="1"/>
    <col min="7948" max="7948" width="9" style="97" customWidth="1"/>
    <col min="7949" max="7949" width="7.42578125" style="97" customWidth="1"/>
    <col min="7950" max="7950" width="9.85546875" style="97" customWidth="1"/>
    <col min="7951" max="7951" width="23.140625" style="97" bestFit="1" customWidth="1"/>
    <col min="7952" max="8192" width="9.140625" style="97"/>
    <col min="8193" max="8193" width="8.5703125" style="97" customWidth="1"/>
    <col min="8194" max="8195" width="10.85546875" style="97" customWidth="1"/>
    <col min="8196" max="8196" width="11" style="97" customWidth="1"/>
    <col min="8197" max="8197" width="9" style="97" customWidth="1"/>
    <col min="8198" max="8198" width="9.28515625" style="97" customWidth="1"/>
    <col min="8199" max="8199" width="7.5703125" style="97" customWidth="1"/>
    <col min="8200" max="8200" width="9.42578125" style="97" customWidth="1"/>
    <col min="8201" max="8201" width="9.28515625" style="97" customWidth="1"/>
    <col min="8202" max="8202" width="10.28515625" style="97" customWidth="1"/>
    <col min="8203" max="8203" width="11.5703125" style="97" customWidth="1"/>
    <col min="8204" max="8204" width="9" style="97" customWidth="1"/>
    <col min="8205" max="8205" width="7.42578125" style="97" customWidth="1"/>
    <col min="8206" max="8206" width="9.85546875" style="97" customWidth="1"/>
    <col min="8207" max="8207" width="23.140625" style="97" bestFit="1" customWidth="1"/>
    <col min="8208" max="8448" width="9.140625" style="97"/>
    <col min="8449" max="8449" width="8.5703125" style="97" customWidth="1"/>
    <col min="8450" max="8451" width="10.85546875" style="97" customWidth="1"/>
    <col min="8452" max="8452" width="11" style="97" customWidth="1"/>
    <col min="8453" max="8453" width="9" style="97" customWidth="1"/>
    <col min="8454" max="8454" width="9.28515625" style="97" customWidth="1"/>
    <col min="8455" max="8455" width="7.5703125" style="97" customWidth="1"/>
    <col min="8456" max="8456" width="9.42578125" style="97" customWidth="1"/>
    <col min="8457" max="8457" width="9.28515625" style="97" customWidth="1"/>
    <col min="8458" max="8458" width="10.28515625" style="97" customWidth="1"/>
    <col min="8459" max="8459" width="11.5703125" style="97" customWidth="1"/>
    <col min="8460" max="8460" width="9" style="97" customWidth="1"/>
    <col min="8461" max="8461" width="7.42578125" style="97" customWidth="1"/>
    <col min="8462" max="8462" width="9.85546875" style="97" customWidth="1"/>
    <col min="8463" max="8463" width="23.140625" style="97" bestFit="1" customWidth="1"/>
    <col min="8464" max="8704" width="9.140625" style="97"/>
    <col min="8705" max="8705" width="8.5703125" style="97" customWidth="1"/>
    <col min="8706" max="8707" width="10.85546875" style="97" customWidth="1"/>
    <col min="8708" max="8708" width="11" style="97" customWidth="1"/>
    <col min="8709" max="8709" width="9" style="97" customWidth="1"/>
    <col min="8710" max="8710" width="9.28515625" style="97" customWidth="1"/>
    <col min="8711" max="8711" width="7.5703125" style="97" customWidth="1"/>
    <col min="8712" max="8712" width="9.42578125" style="97" customWidth="1"/>
    <col min="8713" max="8713" width="9.28515625" style="97" customWidth="1"/>
    <col min="8714" max="8714" width="10.28515625" style="97" customWidth="1"/>
    <col min="8715" max="8715" width="11.5703125" style="97" customWidth="1"/>
    <col min="8716" max="8716" width="9" style="97" customWidth="1"/>
    <col min="8717" max="8717" width="7.42578125" style="97" customWidth="1"/>
    <col min="8718" max="8718" width="9.85546875" style="97" customWidth="1"/>
    <col min="8719" max="8719" width="23.140625" style="97" bestFit="1" customWidth="1"/>
    <col min="8720" max="8960" width="9.140625" style="97"/>
    <col min="8961" max="8961" width="8.5703125" style="97" customWidth="1"/>
    <col min="8962" max="8963" width="10.85546875" style="97" customWidth="1"/>
    <col min="8964" max="8964" width="11" style="97" customWidth="1"/>
    <col min="8965" max="8965" width="9" style="97" customWidth="1"/>
    <col min="8966" max="8966" width="9.28515625" style="97" customWidth="1"/>
    <col min="8967" max="8967" width="7.5703125" style="97" customWidth="1"/>
    <col min="8968" max="8968" width="9.42578125" style="97" customWidth="1"/>
    <col min="8969" max="8969" width="9.28515625" style="97" customWidth="1"/>
    <col min="8970" max="8970" width="10.28515625" style="97" customWidth="1"/>
    <col min="8971" max="8971" width="11.5703125" style="97" customWidth="1"/>
    <col min="8972" max="8972" width="9" style="97" customWidth="1"/>
    <col min="8973" max="8973" width="7.42578125" style="97" customWidth="1"/>
    <col min="8974" max="8974" width="9.85546875" style="97" customWidth="1"/>
    <col min="8975" max="8975" width="23.140625" style="97" bestFit="1" customWidth="1"/>
    <col min="8976" max="9216" width="9.140625" style="97"/>
    <col min="9217" max="9217" width="8.5703125" style="97" customWidth="1"/>
    <col min="9218" max="9219" width="10.85546875" style="97" customWidth="1"/>
    <col min="9220" max="9220" width="11" style="97" customWidth="1"/>
    <col min="9221" max="9221" width="9" style="97" customWidth="1"/>
    <col min="9222" max="9222" width="9.28515625" style="97" customWidth="1"/>
    <col min="9223" max="9223" width="7.5703125" style="97" customWidth="1"/>
    <col min="9224" max="9224" width="9.42578125" style="97" customWidth="1"/>
    <col min="9225" max="9225" width="9.28515625" style="97" customWidth="1"/>
    <col min="9226" max="9226" width="10.28515625" style="97" customWidth="1"/>
    <col min="9227" max="9227" width="11.5703125" style="97" customWidth="1"/>
    <col min="9228" max="9228" width="9" style="97" customWidth="1"/>
    <col min="9229" max="9229" width="7.42578125" style="97" customWidth="1"/>
    <col min="9230" max="9230" width="9.85546875" style="97" customWidth="1"/>
    <col min="9231" max="9231" width="23.140625" style="97" bestFit="1" customWidth="1"/>
    <col min="9232" max="9472" width="9.140625" style="97"/>
    <col min="9473" max="9473" width="8.5703125" style="97" customWidth="1"/>
    <col min="9474" max="9475" width="10.85546875" style="97" customWidth="1"/>
    <col min="9476" max="9476" width="11" style="97" customWidth="1"/>
    <col min="9477" max="9477" width="9" style="97" customWidth="1"/>
    <col min="9478" max="9478" width="9.28515625" style="97" customWidth="1"/>
    <col min="9479" max="9479" width="7.5703125" style="97" customWidth="1"/>
    <col min="9480" max="9480" width="9.42578125" style="97" customWidth="1"/>
    <col min="9481" max="9481" width="9.28515625" style="97" customWidth="1"/>
    <col min="9482" max="9482" width="10.28515625" style="97" customWidth="1"/>
    <col min="9483" max="9483" width="11.5703125" style="97" customWidth="1"/>
    <col min="9484" max="9484" width="9" style="97" customWidth="1"/>
    <col min="9485" max="9485" width="7.42578125" style="97" customWidth="1"/>
    <col min="9486" max="9486" width="9.85546875" style="97" customWidth="1"/>
    <col min="9487" max="9487" width="23.140625" style="97" bestFit="1" customWidth="1"/>
    <col min="9488" max="9728" width="9.140625" style="97"/>
    <col min="9729" max="9729" width="8.5703125" style="97" customWidth="1"/>
    <col min="9730" max="9731" width="10.85546875" style="97" customWidth="1"/>
    <col min="9732" max="9732" width="11" style="97" customWidth="1"/>
    <col min="9733" max="9733" width="9" style="97" customWidth="1"/>
    <col min="9734" max="9734" width="9.28515625" style="97" customWidth="1"/>
    <col min="9735" max="9735" width="7.5703125" style="97" customWidth="1"/>
    <col min="9736" max="9736" width="9.42578125" style="97" customWidth="1"/>
    <col min="9737" max="9737" width="9.28515625" style="97" customWidth="1"/>
    <col min="9738" max="9738" width="10.28515625" style="97" customWidth="1"/>
    <col min="9739" max="9739" width="11.5703125" style="97" customWidth="1"/>
    <col min="9740" max="9740" width="9" style="97" customWidth="1"/>
    <col min="9741" max="9741" width="7.42578125" style="97" customWidth="1"/>
    <col min="9742" max="9742" width="9.85546875" style="97" customWidth="1"/>
    <col min="9743" max="9743" width="23.140625" style="97" bestFit="1" customWidth="1"/>
    <col min="9744" max="9984" width="9.140625" style="97"/>
    <col min="9985" max="9985" width="8.5703125" style="97" customWidth="1"/>
    <col min="9986" max="9987" width="10.85546875" style="97" customWidth="1"/>
    <col min="9988" max="9988" width="11" style="97" customWidth="1"/>
    <col min="9989" max="9989" width="9" style="97" customWidth="1"/>
    <col min="9990" max="9990" width="9.28515625" style="97" customWidth="1"/>
    <col min="9991" max="9991" width="7.5703125" style="97" customWidth="1"/>
    <col min="9992" max="9992" width="9.42578125" style="97" customWidth="1"/>
    <col min="9993" max="9993" width="9.28515625" style="97" customWidth="1"/>
    <col min="9994" max="9994" width="10.28515625" style="97" customWidth="1"/>
    <col min="9995" max="9995" width="11.5703125" style="97" customWidth="1"/>
    <col min="9996" max="9996" width="9" style="97" customWidth="1"/>
    <col min="9997" max="9997" width="7.42578125" style="97" customWidth="1"/>
    <col min="9998" max="9998" width="9.85546875" style="97" customWidth="1"/>
    <col min="9999" max="9999" width="23.140625" style="97" bestFit="1" customWidth="1"/>
    <col min="10000" max="10240" width="9.140625" style="97"/>
    <col min="10241" max="10241" width="8.5703125" style="97" customWidth="1"/>
    <col min="10242" max="10243" width="10.85546875" style="97" customWidth="1"/>
    <col min="10244" max="10244" width="11" style="97" customWidth="1"/>
    <col min="10245" max="10245" width="9" style="97" customWidth="1"/>
    <col min="10246" max="10246" width="9.28515625" style="97" customWidth="1"/>
    <col min="10247" max="10247" width="7.5703125" style="97" customWidth="1"/>
    <col min="10248" max="10248" width="9.42578125" style="97" customWidth="1"/>
    <col min="10249" max="10249" width="9.28515625" style="97" customWidth="1"/>
    <col min="10250" max="10250" width="10.28515625" style="97" customWidth="1"/>
    <col min="10251" max="10251" width="11.5703125" style="97" customWidth="1"/>
    <col min="10252" max="10252" width="9" style="97" customWidth="1"/>
    <col min="10253" max="10253" width="7.42578125" style="97" customWidth="1"/>
    <col min="10254" max="10254" width="9.85546875" style="97" customWidth="1"/>
    <col min="10255" max="10255" width="23.140625" style="97" bestFit="1" customWidth="1"/>
    <col min="10256" max="10496" width="9.140625" style="97"/>
    <col min="10497" max="10497" width="8.5703125" style="97" customWidth="1"/>
    <col min="10498" max="10499" width="10.85546875" style="97" customWidth="1"/>
    <col min="10500" max="10500" width="11" style="97" customWidth="1"/>
    <col min="10501" max="10501" width="9" style="97" customWidth="1"/>
    <col min="10502" max="10502" width="9.28515625" style="97" customWidth="1"/>
    <col min="10503" max="10503" width="7.5703125" style="97" customWidth="1"/>
    <col min="10504" max="10504" width="9.42578125" style="97" customWidth="1"/>
    <col min="10505" max="10505" width="9.28515625" style="97" customWidth="1"/>
    <col min="10506" max="10506" width="10.28515625" style="97" customWidth="1"/>
    <col min="10507" max="10507" width="11.5703125" style="97" customWidth="1"/>
    <col min="10508" max="10508" width="9" style="97" customWidth="1"/>
    <col min="10509" max="10509" width="7.42578125" style="97" customWidth="1"/>
    <col min="10510" max="10510" width="9.85546875" style="97" customWidth="1"/>
    <col min="10511" max="10511" width="23.140625" style="97" bestFit="1" customWidth="1"/>
    <col min="10512" max="10752" width="9.140625" style="97"/>
    <col min="10753" max="10753" width="8.5703125" style="97" customWidth="1"/>
    <col min="10754" max="10755" width="10.85546875" style="97" customWidth="1"/>
    <col min="10756" max="10756" width="11" style="97" customWidth="1"/>
    <col min="10757" max="10757" width="9" style="97" customWidth="1"/>
    <col min="10758" max="10758" width="9.28515625" style="97" customWidth="1"/>
    <col min="10759" max="10759" width="7.5703125" style="97" customWidth="1"/>
    <col min="10760" max="10760" width="9.42578125" style="97" customWidth="1"/>
    <col min="10761" max="10761" width="9.28515625" style="97" customWidth="1"/>
    <col min="10762" max="10762" width="10.28515625" style="97" customWidth="1"/>
    <col min="10763" max="10763" width="11.5703125" style="97" customWidth="1"/>
    <col min="10764" max="10764" width="9" style="97" customWidth="1"/>
    <col min="10765" max="10765" width="7.42578125" style="97" customWidth="1"/>
    <col min="10766" max="10766" width="9.85546875" style="97" customWidth="1"/>
    <col min="10767" max="10767" width="23.140625" style="97" bestFit="1" customWidth="1"/>
    <col min="10768" max="11008" width="9.140625" style="97"/>
    <col min="11009" max="11009" width="8.5703125" style="97" customWidth="1"/>
    <col min="11010" max="11011" width="10.85546875" style="97" customWidth="1"/>
    <col min="11012" max="11012" width="11" style="97" customWidth="1"/>
    <col min="11013" max="11013" width="9" style="97" customWidth="1"/>
    <col min="11014" max="11014" width="9.28515625" style="97" customWidth="1"/>
    <col min="11015" max="11015" width="7.5703125" style="97" customWidth="1"/>
    <col min="11016" max="11016" width="9.42578125" style="97" customWidth="1"/>
    <col min="11017" max="11017" width="9.28515625" style="97" customWidth="1"/>
    <col min="11018" max="11018" width="10.28515625" style="97" customWidth="1"/>
    <col min="11019" max="11019" width="11.5703125" style="97" customWidth="1"/>
    <col min="11020" max="11020" width="9" style="97" customWidth="1"/>
    <col min="11021" max="11021" width="7.42578125" style="97" customWidth="1"/>
    <col min="11022" max="11022" width="9.85546875" style="97" customWidth="1"/>
    <col min="11023" max="11023" width="23.140625" style="97" bestFit="1" customWidth="1"/>
    <col min="11024" max="11264" width="9.140625" style="97"/>
    <col min="11265" max="11265" width="8.5703125" style="97" customWidth="1"/>
    <col min="11266" max="11267" width="10.85546875" style="97" customWidth="1"/>
    <col min="11268" max="11268" width="11" style="97" customWidth="1"/>
    <col min="11269" max="11269" width="9" style="97" customWidth="1"/>
    <col min="11270" max="11270" width="9.28515625" style="97" customWidth="1"/>
    <col min="11271" max="11271" width="7.5703125" style="97" customWidth="1"/>
    <col min="11272" max="11272" width="9.42578125" style="97" customWidth="1"/>
    <col min="11273" max="11273" width="9.28515625" style="97" customWidth="1"/>
    <col min="11274" max="11274" width="10.28515625" style="97" customWidth="1"/>
    <col min="11275" max="11275" width="11.5703125" style="97" customWidth="1"/>
    <col min="11276" max="11276" width="9" style="97" customWidth="1"/>
    <col min="11277" max="11277" width="7.42578125" style="97" customWidth="1"/>
    <col min="11278" max="11278" width="9.85546875" style="97" customWidth="1"/>
    <col min="11279" max="11279" width="23.140625" style="97" bestFit="1" customWidth="1"/>
    <col min="11280" max="11520" width="9.140625" style="97"/>
    <col min="11521" max="11521" width="8.5703125" style="97" customWidth="1"/>
    <col min="11522" max="11523" width="10.85546875" style="97" customWidth="1"/>
    <col min="11524" max="11524" width="11" style="97" customWidth="1"/>
    <col min="11525" max="11525" width="9" style="97" customWidth="1"/>
    <col min="11526" max="11526" width="9.28515625" style="97" customWidth="1"/>
    <col min="11527" max="11527" width="7.5703125" style="97" customWidth="1"/>
    <col min="11528" max="11528" width="9.42578125" style="97" customWidth="1"/>
    <col min="11529" max="11529" width="9.28515625" style="97" customWidth="1"/>
    <col min="11530" max="11530" width="10.28515625" style="97" customWidth="1"/>
    <col min="11531" max="11531" width="11.5703125" style="97" customWidth="1"/>
    <col min="11532" max="11532" width="9" style="97" customWidth="1"/>
    <col min="11533" max="11533" width="7.42578125" style="97" customWidth="1"/>
    <col min="11534" max="11534" width="9.85546875" style="97" customWidth="1"/>
    <col min="11535" max="11535" width="23.140625" style="97" bestFit="1" customWidth="1"/>
    <col min="11536" max="11776" width="9.140625" style="97"/>
    <col min="11777" max="11777" width="8.5703125" style="97" customWidth="1"/>
    <col min="11778" max="11779" width="10.85546875" style="97" customWidth="1"/>
    <col min="11780" max="11780" width="11" style="97" customWidth="1"/>
    <col min="11781" max="11781" width="9" style="97" customWidth="1"/>
    <col min="11782" max="11782" width="9.28515625" style="97" customWidth="1"/>
    <col min="11783" max="11783" width="7.5703125" style="97" customWidth="1"/>
    <col min="11784" max="11784" width="9.42578125" style="97" customWidth="1"/>
    <col min="11785" max="11785" width="9.28515625" style="97" customWidth="1"/>
    <col min="11786" max="11786" width="10.28515625" style="97" customWidth="1"/>
    <col min="11787" max="11787" width="11.5703125" style="97" customWidth="1"/>
    <col min="11788" max="11788" width="9" style="97" customWidth="1"/>
    <col min="11789" max="11789" width="7.42578125" style="97" customWidth="1"/>
    <col min="11790" max="11790" width="9.85546875" style="97" customWidth="1"/>
    <col min="11791" max="11791" width="23.140625" style="97" bestFit="1" customWidth="1"/>
    <col min="11792" max="12032" width="9.140625" style="97"/>
    <col min="12033" max="12033" width="8.5703125" style="97" customWidth="1"/>
    <col min="12034" max="12035" width="10.85546875" style="97" customWidth="1"/>
    <col min="12036" max="12036" width="11" style="97" customWidth="1"/>
    <col min="12037" max="12037" width="9" style="97" customWidth="1"/>
    <col min="12038" max="12038" width="9.28515625" style="97" customWidth="1"/>
    <col min="12039" max="12039" width="7.5703125" style="97" customWidth="1"/>
    <col min="12040" max="12040" width="9.42578125" style="97" customWidth="1"/>
    <col min="12041" max="12041" width="9.28515625" style="97" customWidth="1"/>
    <col min="12042" max="12042" width="10.28515625" style="97" customWidth="1"/>
    <col min="12043" max="12043" width="11.5703125" style="97" customWidth="1"/>
    <col min="12044" max="12044" width="9" style="97" customWidth="1"/>
    <col min="12045" max="12045" width="7.42578125" style="97" customWidth="1"/>
    <col min="12046" max="12046" width="9.85546875" style="97" customWidth="1"/>
    <col min="12047" max="12047" width="23.140625" style="97" bestFit="1" customWidth="1"/>
    <col min="12048" max="12288" width="9.140625" style="97"/>
    <col min="12289" max="12289" width="8.5703125" style="97" customWidth="1"/>
    <col min="12290" max="12291" width="10.85546875" style="97" customWidth="1"/>
    <col min="12292" max="12292" width="11" style="97" customWidth="1"/>
    <col min="12293" max="12293" width="9" style="97" customWidth="1"/>
    <col min="12294" max="12294" width="9.28515625" style="97" customWidth="1"/>
    <col min="12295" max="12295" width="7.5703125" style="97" customWidth="1"/>
    <col min="12296" max="12296" width="9.42578125" style="97" customWidth="1"/>
    <col min="12297" max="12297" width="9.28515625" style="97" customWidth="1"/>
    <col min="12298" max="12298" width="10.28515625" style="97" customWidth="1"/>
    <col min="12299" max="12299" width="11.5703125" style="97" customWidth="1"/>
    <col min="12300" max="12300" width="9" style="97" customWidth="1"/>
    <col min="12301" max="12301" width="7.42578125" style="97" customWidth="1"/>
    <col min="12302" max="12302" width="9.85546875" style="97" customWidth="1"/>
    <col min="12303" max="12303" width="23.140625" style="97" bestFit="1" customWidth="1"/>
    <col min="12304" max="12544" width="9.140625" style="97"/>
    <col min="12545" max="12545" width="8.5703125" style="97" customWidth="1"/>
    <col min="12546" max="12547" width="10.85546875" style="97" customWidth="1"/>
    <col min="12548" max="12548" width="11" style="97" customWidth="1"/>
    <col min="12549" max="12549" width="9" style="97" customWidth="1"/>
    <col min="12550" max="12550" width="9.28515625" style="97" customWidth="1"/>
    <col min="12551" max="12551" width="7.5703125" style="97" customWidth="1"/>
    <col min="12552" max="12552" width="9.42578125" style="97" customWidth="1"/>
    <col min="12553" max="12553" width="9.28515625" style="97" customWidth="1"/>
    <col min="12554" max="12554" width="10.28515625" style="97" customWidth="1"/>
    <col min="12555" max="12555" width="11.5703125" style="97" customWidth="1"/>
    <col min="12556" max="12556" width="9" style="97" customWidth="1"/>
    <col min="12557" max="12557" width="7.42578125" style="97" customWidth="1"/>
    <col min="12558" max="12558" width="9.85546875" style="97" customWidth="1"/>
    <col min="12559" max="12559" width="23.140625" style="97" bestFit="1" customWidth="1"/>
    <col min="12560" max="12800" width="9.140625" style="97"/>
    <col min="12801" max="12801" width="8.5703125" style="97" customWidth="1"/>
    <col min="12802" max="12803" width="10.85546875" style="97" customWidth="1"/>
    <col min="12804" max="12804" width="11" style="97" customWidth="1"/>
    <col min="12805" max="12805" width="9" style="97" customWidth="1"/>
    <col min="12806" max="12806" width="9.28515625" style="97" customWidth="1"/>
    <col min="12807" max="12807" width="7.5703125" style="97" customWidth="1"/>
    <col min="12808" max="12808" width="9.42578125" style="97" customWidth="1"/>
    <col min="12809" max="12809" width="9.28515625" style="97" customWidth="1"/>
    <col min="12810" max="12810" width="10.28515625" style="97" customWidth="1"/>
    <col min="12811" max="12811" width="11.5703125" style="97" customWidth="1"/>
    <col min="12812" max="12812" width="9" style="97" customWidth="1"/>
    <col min="12813" max="12813" width="7.42578125" style="97" customWidth="1"/>
    <col min="12814" max="12814" width="9.85546875" style="97" customWidth="1"/>
    <col min="12815" max="12815" width="23.140625" style="97" bestFit="1" customWidth="1"/>
    <col min="12816" max="13056" width="9.140625" style="97"/>
    <col min="13057" max="13057" width="8.5703125" style="97" customWidth="1"/>
    <col min="13058" max="13059" width="10.85546875" style="97" customWidth="1"/>
    <col min="13060" max="13060" width="11" style="97" customWidth="1"/>
    <col min="13061" max="13061" width="9" style="97" customWidth="1"/>
    <col min="13062" max="13062" width="9.28515625" style="97" customWidth="1"/>
    <col min="13063" max="13063" width="7.5703125" style="97" customWidth="1"/>
    <col min="13064" max="13064" width="9.42578125" style="97" customWidth="1"/>
    <col min="13065" max="13065" width="9.28515625" style="97" customWidth="1"/>
    <col min="13066" max="13066" width="10.28515625" style="97" customWidth="1"/>
    <col min="13067" max="13067" width="11.5703125" style="97" customWidth="1"/>
    <col min="13068" max="13068" width="9" style="97" customWidth="1"/>
    <col min="13069" max="13069" width="7.42578125" style="97" customWidth="1"/>
    <col min="13070" max="13070" width="9.85546875" style="97" customWidth="1"/>
    <col min="13071" max="13071" width="23.140625" style="97" bestFit="1" customWidth="1"/>
    <col min="13072" max="13312" width="9.140625" style="97"/>
    <col min="13313" max="13313" width="8.5703125" style="97" customWidth="1"/>
    <col min="13314" max="13315" width="10.85546875" style="97" customWidth="1"/>
    <col min="13316" max="13316" width="11" style="97" customWidth="1"/>
    <col min="13317" max="13317" width="9" style="97" customWidth="1"/>
    <col min="13318" max="13318" width="9.28515625" style="97" customWidth="1"/>
    <col min="13319" max="13319" width="7.5703125" style="97" customWidth="1"/>
    <col min="13320" max="13320" width="9.42578125" style="97" customWidth="1"/>
    <col min="13321" max="13321" width="9.28515625" style="97" customWidth="1"/>
    <col min="13322" max="13322" width="10.28515625" style="97" customWidth="1"/>
    <col min="13323" max="13323" width="11.5703125" style="97" customWidth="1"/>
    <col min="13324" max="13324" width="9" style="97" customWidth="1"/>
    <col min="13325" max="13325" width="7.42578125" style="97" customWidth="1"/>
    <col min="13326" max="13326" width="9.85546875" style="97" customWidth="1"/>
    <col min="13327" max="13327" width="23.140625" style="97" bestFit="1" customWidth="1"/>
    <col min="13328" max="13568" width="9.140625" style="97"/>
    <col min="13569" max="13569" width="8.5703125" style="97" customWidth="1"/>
    <col min="13570" max="13571" width="10.85546875" style="97" customWidth="1"/>
    <col min="13572" max="13572" width="11" style="97" customWidth="1"/>
    <col min="13573" max="13573" width="9" style="97" customWidth="1"/>
    <col min="13574" max="13574" width="9.28515625" style="97" customWidth="1"/>
    <col min="13575" max="13575" width="7.5703125" style="97" customWidth="1"/>
    <col min="13576" max="13576" width="9.42578125" style="97" customWidth="1"/>
    <col min="13577" max="13577" width="9.28515625" style="97" customWidth="1"/>
    <col min="13578" max="13578" width="10.28515625" style="97" customWidth="1"/>
    <col min="13579" max="13579" width="11.5703125" style="97" customWidth="1"/>
    <col min="13580" max="13580" width="9" style="97" customWidth="1"/>
    <col min="13581" max="13581" width="7.42578125" style="97" customWidth="1"/>
    <col min="13582" max="13582" width="9.85546875" style="97" customWidth="1"/>
    <col min="13583" max="13583" width="23.140625" style="97" bestFit="1" customWidth="1"/>
    <col min="13584" max="13824" width="9.140625" style="97"/>
    <col min="13825" max="13825" width="8.5703125" style="97" customWidth="1"/>
    <col min="13826" max="13827" width="10.85546875" style="97" customWidth="1"/>
    <col min="13828" max="13828" width="11" style="97" customWidth="1"/>
    <col min="13829" max="13829" width="9" style="97" customWidth="1"/>
    <col min="13830" max="13830" width="9.28515625" style="97" customWidth="1"/>
    <col min="13831" max="13831" width="7.5703125" style="97" customWidth="1"/>
    <col min="13832" max="13832" width="9.42578125" style="97" customWidth="1"/>
    <col min="13833" max="13833" width="9.28515625" style="97" customWidth="1"/>
    <col min="13834" max="13834" width="10.28515625" style="97" customWidth="1"/>
    <col min="13835" max="13835" width="11.5703125" style="97" customWidth="1"/>
    <col min="13836" max="13836" width="9" style="97" customWidth="1"/>
    <col min="13837" max="13837" width="7.42578125" style="97" customWidth="1"/>
    <col min="13838" max="13838" width="9.85546875" style="97" customWidth="1"/>
    <col min="13839" max="13839" width="23.140625" style="97" bestFit="1" customWidth="1"/>
    <col min="13840" max="14080" width="9.140625" style="97"/>
    <col min="14081" max="14081" width="8.5703125" style="97" customWidth="1"/>
    <col min="14082" max="14083" width="10.85546875" style="97" customWidth="1"/>
    <col min="14084" max="14084" width="11" style="97" customWidth="1"/>
    <col min="14085" max="14085" width="9" style="97" customWidth="1"/>
    <col min="14086" max="14086" width="9.28515625" style="97" customWidth="1"/>
    <col min="14087" max="14087" width="7.5703125" style="97" customWidth="1"/>
    <col min="14088" max="14088" width="9.42578125" style="97" customWidth="1"/>
    <col min="14089" max="14089" width="9.28515625" style="97" customWidth="1"/>
    <col min="14090" max="14090" width="10.28515625" style="97" customWidth="1"/>
    <col min="14091" max="14091" width="11.5703125" style="97" customWidth="1"/>
    <col min="14092" max="14092" width="9" style="97" customWidth="1"/>
    <col min="14093" max="14093" width="7.42578125" style="97" customWidth="1"/>
    <col min="14094" max="14094" width="9.85546875" style="97" customWidth="1"/>
    <col min="14095" max="14095" width="23.140625" style="97" bestFit="1" customWidth="1"/>
    <col min="14096" max="14336" width="9.140625" style="97"/>
    <col min="14337" max="14337" width="8.5703125" style="97" customWidth="1"/>
    <col min="14338" max="14339" width="10.85546875" style="97" customWidth="1"/>
    <col min="14340" max="14340" width="11" style="97" customWidth="1"/>
    <col min="14341" max="14341" width="9" style="97" customWidth="1"/>
    <col min="14342" max="14342" width="9.28515625" style="97" customWidth="1"/>
    <col min="14343" max="14343" width="7.5703125" style="97" customWidth="1"/>
    <col min="14344" max="14344" width="9.42578125" style="97" customWidth="1"/>
    <col min="14345" max="14345" width="9.28515625" style="97" customWidth="1"/>
    <col min="14346" max="14346" width="10.28515625" style="97" customWidth="1"/>
    <col min="14347" max="14347" width="11.5703125" style="97" customWidth="1"/>
    <col min="14348" max="14348" width="9" style="97" customWidth="1"/>
    <col min="14349" max="14349" width="7.42578125" style="97" customWidth="1"/>
    <col min="14350" max="14350" width="9.85546875" style="97" customWidth="1"/>
    <col min="14351" max="14351" width="23.140625" style="97" bestFit="1" customWidth="1"/>
    <col min="14352" max="14592" width="9.140625" style="97"/>
    <col min="14593" max="14593" width="8.5703125" style="97" customWidth="1"/>
    <col min="14594" max="14595" width="10.85546875" style="97" customWidth="1"/>
    <col min="14596" max="14596" width="11" style="97" customWidth="1"/>
    <col min="14597" max="14597" width="9" style="97" customWidth="1"/>
    <col min="14598" max="14598" width="9.28515625" style="97" customWidth="1"/>
    <col min="14599" max="14599" width="7.5703125" style="97" customWidth="1"/>
    <col min="14600" max="14600" width="9.42578125" style="97" customWidth="1"/>
    <col min="14601" max="14601" width="9.28515625" style="97" customWidth="1"/>
    <col min="14602" max="14602" width="10.28515625" style="97" customWidth="1"/>
    <col min="14603" max="14603" width="11.5703125" style="97" customWidth="1"/>
    <col min="14604" max="14604" width="9" style="97" customWidth="1"/>
    <col min="14605" max="14605" width="7.42578125" style="97" customWidth="1"/>
    <col min="14606" max="14606" width="9.85546875" style="97" customWidth="1"/>
    <col min="14607" max="14607" width="23.140625" style="97" bestFit="1" customWidth="1"/>
    <col min="14608" max="14848" width="9.140625" style="97"/>
    <col min="14849" max="14849" width="8.5703125" style="97" customWidth="1"/>
    <col min="14850" max="14851" width="10.85546875" style="97" customWidth="1"/>
    <col min="14852" max="14852" width="11" style="97" customWidth="1"/>
    <col min="14853" max="14853" width="9" style="97" customWidth="1"/>
    <col min="14854" max="14854" width="9.28515625" style="97" customWidth="1"/>
    <col min="14855" max="14855" width="7.5703125" style="97" customWidth="1"/>
    <col min="14856" max="14856" width="9.42578125" style="97" customWidth="1"/>
    <col min="14857" max="14857" width="9.28515625" style="97" customWidth="1"/>
    <col min="14858" max="14858" width="10.28515625" style="97" customWidth="1"/>
    <col min="14859" max="14859" width="11.5703125" style="97" customWidth="1"/>
    <col min="14860" max="14860" width="9" style="97" customWidth="1"/>
    <col min="14861" max="14861" width="7.42578125" style="97" customWidth="1"/>
    <col min="14862" max="14862" width="9.85546875" style="97" customWidth="1"/>
    <col min="14863" max="14863" width="23.140625" style="97" bestFit="1" customWidth="1"/>
    <col min="14864" max="15104" width="9.140625" style="97"/>
    <col min="15105" max="15105" width="8.5703125" style="97" customWidth="1"/>
    <col min="15106" max="15107" width="10.85546875" style="97" customWidth="1"/>
    <col min="15108" max="15108" width="11" style="97" customWidth="1"/>
    <col min="15109" max="15109" width="9" style="97" customWidth="1"/>
    <col min="15110" max="15110" width="9.28515625" style="97" customWidth="1"/>
    <col min="15111" max="15111" width="7.5703125" style="97" customWidth="1"/>
    <col min="15112" max="15112" width="9.42578125" style="97" customWidth="1"/>
    <col min="15113" max="15113" width="9.28515625" style="97" customWidth="1"/>
    <col min="15114" max="15114" width="10.28515625" style="97" customWidth="1"/>
    <col min="15115" max="15115" width="11.5703125" style="97" customWidth="1"/>
    <col min="15116" max="15116" width="9" style="97" customWidth="1"/>
    <col min="15117" max="15117" width="7.42578125" style="97" customWidth="1"/>
    <col min="15118" max="15118" width="9.85546875" style="97" customWidth="1"/>
    <col min="15119" max="15119" width="23.140625" style="97" bestFit="1" customWidth="1"/>
    <col min="15120" max="15360" width="9.140625" style="97"/>
    <col min="15361" max="15361" width="8.5703125" style="97" customWidth="1"/>
    <col min="15362" max="15363" width="10.85546875" style="97" customWidth="1"/>
    <col min="15364" max="15364" width="11" style="97" customWidth="1"/>
    <col min="15365" max="15365" width="9" style="97" customWidth="1"/>
    <col min="15366" max="15366" width="9.28515625" style="97" customWidth="1"/>
    <col min="15367" max="15367" width="7.5703125" style="97" customWidth="1"/>
    <col min="15368" max="15368" width="9.42578125" style="97" customWidth="1"/>
    <col min="15369" max="15369" width="9.28515625" style="97" customWidth="1"/>
    <col min="15370" max="15370" width="10.28515625" style="97" customWidth="1"/>
    <col min="15371" max="15371" width="11.5703125" style="97" customWidth="1"/>
    <col min="15372" max="15372" width="9" style="97" customWidth="1"/>
    <col min="15373" max="15373" width="7.42578125" style="97" customWidth="1"/>
    <col min="15374" max="15374" width="9.85546875" style="97" customWidth="1"/>
    <col min="15375" max="15375" width="23.140625" style="97" bestFit="1" customWidth="1"/>
    <col min="15376" max="15616" width="9.140625" style="97"/>
    <col min="15617" max="15617" width="8.5703125" style="97" customWidth="1"/>
    <col min="15618" max="15619" width="10.85546875" style="97" customWidth="1"/>
    <col min="15620" max="15620" width="11" style="97" customWidth="1"/>
    <col min="15621" max="15621" width="9" style="97" customWidth="1"/>
    <col min="15622" max="15622" width="9.28515625" style="97" customWidth="1"/>
    <col min="15623" max="15623" width="7.5703125" style="97" customWidth="1"/>
    <col min="15624" max="15624" width="9.42578125" style="97" customWidth="1"/>
    <col min="15625" max="15625" width="9.28515625" style="97" customWidth="1"/>
    <col min="15626" max="15626" width="10.28515625" style="97" customWidth="1"/>
    <col min="15627" max="15627" width="11.5703125" style="97" customWidth="1"/>
    <col min="15628" max="15628" width="9" style="97" customWidth="1"/>
    <col min="15629" max="15629" width="7.42578125" style="97" customWidth="1"/>
    <col min="15630" max="15630" width="9.85546875" style="97" customWidth="1"/>
    <col min="15631" max="15631" width="23.140625" style="97" bestFit="1" customWidth="1"/>
    <col min="15632" max="15872" width="9.140625" style="97"/>
    <col min="15873" max="15873" width="8.5703125" style="97" customWidth="1"/>
    <col min="15874" max="15875" width="10.85546875" style="97" customWidth="1"/>
    <col min="15876" max="15876" width="11" style="97" customWidth="1"/>
    <col min="15877" max="15877" width="9" style="97" customWidth="1"/>
    <col min="15878" max="15878" width="9.28515625" style="97" customWidth="1"/>
    <col min="15879" max="15879" width="7.5703125" style="97" customWidth="1"/>
    <col min="15880" max="15880" width="9.42578125" style="97" customWidth="1"/>
    <col min="15881" max="15881" width="9.28515625" style="97" customWidth="1"/>
    <col min="15882" max="15882" width="10.28515625" style="97" customWidth="1"/>
    <col min="15883" max="15883" width="11.5703125" style="97" customWidth="1"/>
    <col min="15884" max="15884" width="9" style="97" customWidth="1"/>
    <col min="15885" max="15885" width="7.42578125" style="97" customWidth="1"/>
    <col min="15886" max="15886" width="9.85546875" style="97" customWidth="1"/>
    <col min="15887" max="15887" width="23.140625" style="97" bestFit="1" customWidth="1"/>
    <col min="15888" max="16128" width="9.140625" style="97"/>
    <col min="16129" max="16129" width="8.5703125" style="97" customWidth="1"/>
    <col min="16130" max="16131" width="10.85546875" style="97" customWidth="1"/>
    <col min="16132" max="16132" width="11" style="97" customWidth="1"/>
    <col min="16133" max="16133" width="9" style="97" customWidth="1"/>
    <col min="16134" max="16134" width="9.28515625" style="97" customWidth="1"/>
    <col min="16135" max="16135" width="7.5703125" style="97" customWidth="1"/>
    <col min="16136" max="16136" width="9.42578125" style="97" customWidth="1"/>
    <col min="16137" max="16137" width="9.28515625" style="97" customWidth="1"/>
    <col min="16138" max="16138" width="10.28515625" style="97" customWidth="1"/>
    <col min="16139" max="16139" width="11.5703125" style="97" customWidth="1"/>
    <col min="16140" max="16140" width="9" style="97" customWidth="1"/>
    <col min="16141" max="16141" width="7.42578125" style="97" customWidth="1"/>
    <col min="16142" max="16142" width="9.85546875" style="97" customWidth="1"/>
    <col min="16143" max="16143" width="23.140625" style="97" bestFit="1" customWidth="1"/>
    <col min="16144" max="16384" width="9.140625" style="97"/>
  </cols>
  <sheetData>
    <row r="1" spans="1:21" x14ac:dyDescent="0.2">
      <c r="A1" s="7" t="s">
        <v>405</v>
      </c>
      <c r="B1" s="90"/>
      <c r="C1" s="90"/>
      <c r="D1" s="90"/>
      <c r="E1" s="90"/>
      <c r="F1" s="90"/>
      <c r="G1" s="90"/>
      <c r="H1" s="90"/>
      <c r="I1" s="90"/>
      <c r="J1" s="90"/>
      <c r="K1" s="90"/>
      <c r="L1" s="90"/>
      <c r="M1" s="90"/>
      <c r="N1" s="90"/>
      <c r="O1" s="90"/>
    </row>
    <row r="2" spans="1:21" x14ac:dyDescent="0.2">
      <c r="A2" s="86"/>
      <c r="B2" s="83" t="s">
        <v>91</v>
      </c>
      <c r="C2" s="83" t="s">
        <v>92</v>
      </c>
      <c r="D2" s="83" t="s">
        <v>93</v>
      </c>
      <c r="E2" s="83" t="s">
        <v>345</v>
      </c>
      <c r="F2" s="83" t="s">
        <v>94</v>
      </c>
      <c r="G2" s="83" t="s">
        <v>95</v>
      </c>
      <c r="H2" s="83" t="s">
        <v>96</v>
      </c>
      <c r="I2" s="83" t="s">
        <v>97</v>
      </c>
      <c r="J2" s="83" t="s">
        <v>98</v>
      </c>
      <c r="K2" s="83" t="s">
        <v>99</v>
      </c>
      <c r="L2" s="83" t="s">
        <v>100</v>
      </c>
      <c r="M2" s="77" t="s">
        <v>95</v>
      </c>
      <c r="N2" s="83" t="s">
        <v>97</v>
      </c>
      <c r="O2" s="83"/>
    </row>
    <row r="3" spans="1:21" x14ac:dyDescent="0.2">
      <c r="A3" s="86" t="s">
        <v>101</v>
      </c>
      <c r="B3" s="83" t="s">
        <v>102</v>
      </c>
      <c r="C3" s="83" t="s">
        <v>103</v>
      </c>
      <c r="D3" s="83" t="s">
        <v>104</v>
      </c>
      <c r="E3" s="83"/>
      <c r="F3" s="83" t="s">
        <v>105</v>
      </c>
      <c r="G3" s="83" t="s">
        <v>106</v>
      </c>
      <c r="H3" s="83" t="s">
        <v>106</v>
      </c>
      <c r="I3" s="83" t="s">
        <v>107</v>
      </c>
      <c r="J3" s="83" t="s">
        <v>108</v>
      </c>
      <c r="K3" s="83" t="s">
        <v>109</v>
      </c>
      <c r="L3" s="83" t="s">
        <v>109</v>
      </c>
      <c r="M3" s="77" t="s">
        <v>346</v>
      </c>
      <c r="N3" s="83" t="s">
        <v>347</v>
      </c>
      <c r="O3" s="77" t="s">
        <v>110</v>
      </c>
    </row>
    <row r="4" spans="1:21" x14ac:dyDescent="0.2">
      <c r="A4" s="86" t="s">
        <v>111</v>
      </c>
      <c r="B4" s="83" t="s">
        <v>112</v>
      </c>
      <c r="C4" s="83" t="s">
        <v>113</v>
      </c>
      <c r="D4" s="83" t="s">
        <v>113</v>
      </c>
      <c r="E4" s="83"/>
      <c r="F4" s="83" t="s">
        <v>114</v>
      </c>
      <c r="G4" s="83" t="s">
        <v>115</v>
      </c>
      <c r="H4" s="83" t="s">
        <v>116</v>
      </c>
      <c r="I4" s="83" t="s">
        <v>116</v>
      </c>
      <c r="J4" s="83" t="s">
        <v>117</v>
      </c>
      <c r="K4" s="83" t="s">
        <v>118</v>
      </c>
      <c r="L4" s="83" t="s">
        <v>119</v>
      </c>
      <c r="M4" s="77" t="s">
        <v>124</v>
      </c>
      <c r="N4" s="83" t="s">
        <v>116</v>
      </c>
      <c r="O4" s="78" t="s">
        <v>338</v>
      </c>
    </row>
    <row r="5" spans="1:21" x14ac:dyDescent="0.2">
      <c r="A5" s="156"/>
      <c r="B5" s="90" t="s">
        <v>113</v>
      </c>
      <c r="C5" s="90"/>
      <c r="D5" s="90"/>
      <c r="E5" s="90"/>
      <c r="F5" s="90" t="s">
        <v>120</v>
      </c>
      <c r="G5" s="90"/>
      <c r="H5" s="90"/>
      <c r="I5" s="90"/>
      <c r="J5" s="90" t="s">
        <v>121</v>
      </c>
      <c r="K5" s="90" t="s">
        <v>122</v>
      </c>
      <c r="L5" s="90" t="s">
        <v>123</v>
      </c>
      <c r="M5" s="90"/>
      <c r="N5" s="90"/>
      <c r="O5" s="90"/>
    </row>
    <row r="6" spans="1:21" x14ac:dyDescent="0.2">
      <c r="H6" s="138"/>
      <c r="I6" s="138"/>
      <c r="J6" s="138"/>
      <c r="K6" s="138"/>
      <c r="L6" s="138"/>
      <c r="M6" s="138"/>
      <c r="N6" s="138"/>
      <c r="O6" s="138"/>
      <c r="P6" s="138"/>
      <c r="Q6" s="138"/>
      <c r="R6" s="138"/>
      <c r="S6" s="138"/>
      <c r="T6" s="138"/>
      <c r="U6" s="138"/>
    </row>
    <row r="7" spans="1:21" x14ac:dyDescent="0.2">
      <c r="A7" s="95"/>
      <c r="B7" s="98" t="s">
        <v>88</v>
      </c>
      <c r="C7" s="98"/>
      <c r="D7" s="98"/>
      <c r="E7" s="98"/>
      <c r="F7" s="98"/>
      <c r="G7" s="98"/>
      <c r="H7" s="98"/>
      <c r="I7" s="98"/>
      <c r="J7" s="98"/>
      <c r="K7" s="98"/>
      <c r="L7" s="98"/>
      <c r="M7" s="98"/>
      <c r="N7" s="98"/>
      <c r="O7" s="3"/>
    </row>
    <row r="8" spans="1:21" x14ac:dyDescent="0.2">
      <c r="A8" s="76" t="s">
        <v>125</v>
      </c>
      <c r="B8" s="98"/>
      <c r="C8" s="98"/>
      <c r="D8" s="98"/>
      <c r="E8" s="98"/>
      <c r="F8" s="98"/>
      <c r="G8" s="98"/>
      <c r="H8" s="98"/>
      <c r="I8" s="98"/>
      <c r="J8" s="98"/>
      <c r="K8" s="98"/>
      <c r="L8" s="98"/>
      <c r="M8" s="98"/>
      <c r="N8" s="98"/>
      <c r="O8" s="3"/>
    </row>
    <row r="9" spans="1:21" ht="12.75" customHeight="1" x14ac:dyDescent="0.2">
      <c r="A9" s="76" t="s">
        <v>74</v>
      </c>
      <c r="B9" s="98">
        <v>189.947</v>
      </c>
      <c r="C9" s="98">
        <v>118.759</v>
      </c>
      <c r="D9" s="98">
        <v>39.591999999999999</v>
      </c>
      <c r="E9" s="98">
        <v>13.57</v>
      </c>
      <c r="F9" s="98">
        <v>21.844000000000001</v>
      </c>
      <c r="G9" s="98">
        <v>66.295000000000002</v>
      </c>
      <c r="H9" s="98">
        <v>6.7889999999999997</v>
      </c>
      <c r="I9" s="98">
        <f>SUM(B9:H9)</f>
        <v>456.79599999999999</v>
      </c>
      <c r="J9" s="98">
        <v>4.7039999999999997</v>
      </c>
      <c r="K9" s="98">
        <v>167.642</v>
      </c>
      <c r="L9" s="98">
        <v>76.864999999999995</v>
      </c>
      <c r="M9" s="98">
        <v>26.643000000000001</v>
      </c>
      <c r="N9" s="98">
        <f>SUM(J9:M9)</f>
        <v>275.85400000000004</v>
      </c>
      <c r="O9" s="3">
        <f>I9+N9</f>
        <v>732.65000000000009</v>
      </c>
    </row>
    <row r="10" spans="1:21" ht="12.75" customHeight="1" x14ac:dyDescent="0.2">
      <c r="A10" s="76" t="s">
        <v>140</v>
      </c>
      <c r="B10" s="98">
        <v>173.751</v>
      </c>
      <c r="C10" s="98">
        <v>105.404</v>
      </c>
      <c r="D10" s="98">
        <v>34.454000000000001</v>
      </c>
      <c r="E10" s="98">
        <v>11.744999999999999</v>
      </c>
      <c r="F10" s="98">
        <v>19.573</v>
      </c>
      <c r="G10" s="98">
        <v>67.045000000000002</v>
      </c>
      <c r="H10" s="98">
        <v>5.3410000000000002</v>
      </c>
      <c r="I10" s="98">
        <f>SUM(B10:H10)</f>
        <v>417.31299999999999</v>
      </c>
      <c r="J10" s="98">
        <v>4.6740000000000004</v>
      </c>
      <c r="K10" s="98">
        <v>148.607</v>
      </c>
      <c r="L10" s="98">
        <v>74.13</v>
      </c>
      <c r="M10" s="98">
        <v>28.324000000000002</v>
      </c>
      <c r="N10" s="98">
        <f>SUM(J10:M10)</f>
        <v>255.73500000000001</v>
      </c>
      <c r="O10" s="3">
        <f>I10+N10</f>
        <v>673.048</v>
      </c>
    </row>
    <row r="11" spans="1:21" ht="12.75" customHeight="1" x14ac:dyDescent="0.2">
      <c r="A11" s="76" t="s">
        <v>76</v>
      </c>
      <c r="B11" s="98">
        <v>197.24299999999999</v>
      </c>
      <c r="C11" s="98">
        <v>123.92700000000001</v>
      </c>
      <c r="D11" s="98">
        <v>44.634999999999998</v>
      </c>
      <c r="E11" s="98">
        <v>13.994999999999999</v>
      </c>
      <c r="F11" s="98">
        <v>23.138999999999999</v>
      </c>
      <c r="G11" s="98">
        <v>82.739000000000004</v>
      </c>
      <c r="H11" s="98">
        <v>6.077</v>
      </c>
      <c r="I11" s="98">
        <f>SUM(B11:H11)</f>
        <v>491.755</v>
      </c>
      <c r="J11" s="98">
        <v>4.8179999999999996</v>
      </c>
      <c r="K11" s="98">
        <v>179.488</v>
      </c>
      <c r="L11" s="98">
        <v>99.13</v>
      </c>
      <c r="M11" s="98">
        <v>44.271000000000001</v>
      </c>
      <c r="N11" s="98">
        <f>SUM(J11:M11)</f>
        <v>327.70700000000005</v>
      </c>
      <c r="O11" s="3">
        <f>I11+N11</f>
        <v>819.46199999999999</v>
      </c>
    </row>
    <row r="12" spans="1:21" x14ac:dyDescent="0.2">
      <c r="A12" s="86" t="s">
        <v>126</v>
      </c>
      <c r="B12" s="98">
        <f t="shared" ref="B12:O12" si="0">SUM(B9:B11)</f>
        <v>560.94100000000003</v>
      </c>
      <c r="C12" s="98">
        <f t="shared" si="0"/>
        <v>348.09000000000003</v>
      </c>
      <c r="D12" s="98">
        <f t="shared" si="0"/>
        <v>118.68099999999998</v>
      </c>
      <c r="E12" s="98">
        <f t="shared" si="0"/>
        <v>39.309999999999995</v>
      </c>
      <c r="F12" s="98">
        <f t="shared" si="0"/>
        <v>64.555999999999997</v>
      </c>
      <c r="G12" s="98">
        <f t="shared" si="0"/>
        <v>216.07900000000001</v>
      </c>
      <c r="H12" s="98">
        <f t="shared" si="0"/>
        <v>18.207000000000001</v>
      </c>
      <c r="I12" s="98">
        <f t="shared" si="0"/>
        <v>1365.864</v>
      </c>
      <c r="J12" s="98">
        <f t="shared" si="0"/>
        <v>14.196</v>
      </c>
      <c r="K12" s="98">
        <f t="shared" si="0"/>
        <v>495.73700000000002</v>
      </c>
      <c r="L12" s="98">
        <f t="shared" si="0"/>
        <v>250.125</v>
      </c>
      <c r="M12" s="98">
        <f t="shared" si="0"/>
        <v>99.238</v>
      </c>
      <c r="N12" s="98">
        <f t="shared" si="0"/>
        <v>859.29600000000005</v>
      </c>
      <c r="O12" s="3">
        <f t="shared" si="0"/>
        <v>2225.16</v>
      </c>
    </row>
    <row r="13" spans="1:21" ht="12.75" customHeight="1" x14ac:dyDescent="0.2">
      <c r="A13" s="76" t="s">
        <v>78</v>
      </c>
      <c r="B13" s="98">
        <v>178.68899999999999</v>
      </c>
      <c r="C13" s="98">
        <v>113.56100000000001</v>
      </c>
      <c r="D13" s="98">
        <v>42.923000000000002</v>
      </c>
      <c r="E13" s="98">
        <v>12.224</v>
      </c>
      <c r="F13" s="98">
        <v>22.262</v>
      </c>
      <c r="G13" s="98">
        <v>78.388999999999996</v>
      </c>
      <c r="H13" s="98">
        <v>6.0720000000000001</v>
      </c>
      <c r="I13" s="98">
        <f>SUM(B13:H13)</f>
        <v>454.12</v>
      </c>
      <c r="J13" s="98">
        <v>5.0970000000000004</v>
      </c>
      <c r="K13" s="98">
        <v>161.72800000000001</v>
      </c>
      <c r="L13" s="98">
        <v>87.831000000000003</v>
      </c>
      <c r="M13" s="98">
        <v>35.945</v>
      </c>
      <c r="N13" s="98">
        <f>SUM(J13:M13)</f>
        <v>290.601</v>
      </c>
      <c r="O13" s="3">
        <f>I13+N13</f>
        <v>744.721</v>
      </c>
    </row>
    <row r="14" spans="1:21" ht="12.75" customHeight="1" x14ac:dyDescent="0.2">
      <c r="A14" s="153" t="s">
        <v>79</v>
      </c>
      <c r="B14" s="98">
        <v>199.03</v>
      </c>
      <c r="C14" s="98">
        <v>120.586</v>
      </c>
      <c r="D14" s="98">
        <v>44.73</v>
      </c>
      <c r="E14" s="98">
        <v>13.015000000000001</v>
      </c>
      <c r="F14" s="98">
        <v>30.297000000000001</v>
      </c>
      <c r="G14" s="98">
        <v>72.292000000000002</v>
      </c>
      <c r="H14" s="98">
        <v>6.7670000000000003</v>
      </c>
      <c r="I14" s="98">
        <f>SUM(B14:H14)</f>
        <v>486.71700000000004</v>
      </c>
      <c r="J14" s="98">
        <v>5.6929999999999996</v>
      </c>
      <c r="K14" s="98">
        <v>171.66399999999999</v>
      </c>
      <c r="L14" s="98">
        <v>93.661000000000001</v>
      </c>
      <c r="M14" s="98">
        <v>34.165999999999997</v>
      </c>
      <c r="N14" s="98">
        <f>SUM(J14:M14)</f>
        <v>305.18400000000003</v>
      </c>
      <c r="O14" s="3">
        <f>I14+N14</f>
        <v>791.90100000000007</v>
      </c>
    </row>
    <row r="15" spans="1:21" ht="12.75" customHeight="1" x14ac:dyDescent="0.2">
      <c r="A15" s="153" t="s">
        <v>89</v>
      </c>
      <c r="B15" s="98">
        <v>205.625</v>
      </c>
      <c r="C15" s="98">
        <v>122.63</v>
      </c>
      <c r="D15" s="98">
        <v>44.134999999999998</v>
      </c>
      <c r="E15" s="98">
        <v>13.478</v>
      </c>
      <c r="F15" s="98">
        <v>35.305999999999997</v>
      </c>
      <c r="G15" s="98">
        <v>70.105999999999995</v>
      </c>
      <c r="H15" s="98">
        <v>6.7750000000000004</v>
      </c>
      <c r="I15" s="98">
        <f>SUM(B15:H15)</f>
        <v>498.05499999999995</v>
      </c>
      <c r="J15" s="98">
        <v>5.3220000000000001</v>
      </c>
      <c r="K15" s="98">
        <v>181.96899999999999</v>
      </c>
      <c r="L15" s="98">
        <v>104.093</v>
      </c>
      <c r="M15" s="98">
        <v>26.992000000000001</v>
      </c>
      <c r="N15" s="98">
        <f>SUM(J15:M15)</f>
        <v>318.37600000000003</v>
      </c>
      <c r="O15" s="3">
        <f>I15+N15</f>
        <v>816.43100000000004</v>
      </c>
    </row>
    <row r="16" spans="1:21" x14ac:dyDescent="0.2">
      <c r="A16" s="153" t="s">
        <v>127</v>
      </c>
      <c r="B16" s="98">
        <f t="shared" ref="B16:O16" si="1">SUM(B13:B15)</f>
        <v>583.34400000000005</v>
      </c>
      <c r="C16" s="98">
        <f t="shared" si="1"/>
        <v>356.77699999999999</v>
      </c>
      <c r="D16" s="98">
        <f t="shared" si="1"/>
        <v>131.78799999999998</v>
      </c>
      <c r="E16" s="98">
        <f t="shared" si="1"/>
        <v>38.716999999999999</v>
      </c>
      <c r="F16" s="98">
        <f t="shared" si="1"/>
        <v>87.864999999999995</v>
      </c>
      <c r="G16" s="98">
        <f t="shared" si="1"/>
        <v>220.78699999999998</v>
      </c>
      <c r="H16" s="98">
        <f t="shared" si="1"/>
        <v>19.614000000000001</v>
      </c>
      <c r="I16" s="98">
        <f t="shared" si="1"/>
        <v>1438.8919999999998</v>
      </c>
      <c r="J16" s="98">
        <f t="shared" si="1"/>
        <v>16.111999999999998</v>
      </c>
      <c r="K16" s="98">
        <f t="shared" si="1"/>
        <v>515.36099999999999</v>
      </c>
      <c r="L16" s="98">
        <f t="shared" si="1"/>
        <v>285.58500000000004</v>
      </c>
      <c r="M16" s="98">
        <f t="shared" si="1"/>
        <v>97.102999999999994</v>
      </c>
      <c r="N16" s="98">
        <f t="shared" si="1"/>
        <v>914.16100000000006</v>
      </c>
      <c r="O16" s="3">
        <f t="shared" si="1"/>
        <v>2353.0529999999999</v>
      </c>
    </row>
    <row r="17" spans="1:15" ht="12.75" customHeight="1" x14ac:dyDescent="0.2">
      <c r="A17" s="153" t="s">
        <v>90</v>
      </c>
      <c r="B17" s="98">
        <v>187.95599999999999</v>
      </c>
      <c r="C17" s="98">
        <v>104.797</v>
      </c>
      <c r="D17" s="98">
        <v>42.866999999999997</v>
      </c>
      <c r="E17" s="98">
        <v>12.273999999999999</v>
      </c>
      <c r="F17" s="98">
        <v>32.691000000000003</v>
      </c>
      <c r="G17" s="98">
        <v>65.915999999999997</v>
      </c>
      <c r="H17" s="98">
        <v>6.8789999999999996</v>
      </c>
      <c r="I17" s="98">
        <f>SUM(B17:H17)</f>
        <v>453.38000000000005</v>
      </c>
      <c r="J17" s="98">
        <v>5.0250000000000004</v>
      </c>
      <c r="K17" s="98">
        <v>191.21199999999999</v>
      </c>
      <c r="L17" s="98">
        <v>108.41500000000001</v>
      </c>
      <c r="M17" s="98">
        <v>29.812000000000001</v>
      </c>
      <c r="N17" s="98">
        <f>SUM(J17:M17)</f>
        <v>334.464</v>
      </c>
      <c r="O17" s="3">
        <f>I17+N17</f>
        <v>787.84400000000005</v>
      </c>
    </row>
    <row r="18" spans="1:15" ht="12.75" customHeight="1" x14ac:dyDescent="0.2">
      <c r="A18" s="153" t="s">
        <v>81</v>
      </c>
      <c r="B18" s="98">
        <v>214.06800000000001</v>
      </c>
      <c r="C18" s="98">
        <v>121.827</v>
      </c>
      <c r="D18" s="98">
        <v>43.673000000000002</v>
      </c>
      <c r="E18" s="98">
        <v>13.448</v>
      </c>
      <c r="F18" s="98">
        <v>30.411999999999999</v>
      </c>
      <c r="G18" s="98">
        <v>67.344999999999999</v>
      </c>
      <c r="H18" s="98">
        <v>7.0519999999999996</v>
      </c>
      <c r="I18" s="98">
        <f>SUM(B18:H18)</f>
        <v>497.82499999999993</v>
      </c>
      <c r="J18" s="98">
        <v>5.1909999999999998</v>
      </c>
      <c r="K18" s="98">
        <v>203.56700000000001</v>
      </c>
      <c r="L18" s="98">
        <v>111.77800000000001</v>
      </c>
      <c r="M18" s="98">
        <f>5.533+26.446</f>
        <v>31.979000000000003</v>
      </c>
      <c r="N18" s="98">
        <f>SUM(J18:M18)</f>
        <v>352.51499999999999</v>
      </c>
      <c r="O18" s="3">
        <f>I18+N18</f>
        <v>850.33999999999992</v>
      </c>
    </row>
    <row r="19" spans="1:15" ht="12.75" customHeight="1" x14ac:dyDescent="0.2">
      <c r="A19" s="153" t="s">
        <v>82</v>
      </c>
      <c r="B19" s="98">
        <v>185.68700000000001</v>
      </c>
      <c r="C19" s="98">
        <v>94.361000000000004</v>
      </c>
      <c r="D19" s="98">
        <v>34.305999999999997</v>
      </c>
      <c r="E19" s="98">
        <v>12.651</v>
      </c>
      <c r="F19" s="98">
        <v>28.497</v>
      </c>
      <c r="G19" s="98">
        <v>64.807000000000002</v>
      </c>
      <c r="H19" s="98">
        <v>5.6929999999999996</v>
      </c>
      <c r="I19" s="98">
        <f>SUM(B19:H19)</f>
        <v>426.00200000000001</v>
      </c>
      <c r="J19" s="98">
        <v>4.3970000000000002</v>
      </c>
      <c r="K19" s="98">
        <v>195.066</v>
      </c>
      <c r="L19" s="98">
        <v>109.557</v>
      </c>
      <c r="M19" s="98">
        <f>4.136+41.389</f>
        <v>45.525000000000006</v>
      </c>
      <c r="N19" s="98">
        <f>SUM(J19:M19)</f>
        <v>354.54499999999996</v>
      </c>
      <c r="O19" s="3">
        <f>I19+N19</f>
        <v>780.54700000000003</v>
      </c>
    </row>
    <row r="20" spans="1:15" x14ac:dyDescent="0.2">
      <c r="A20" s="153" t="s">
        <v>128</v>
      </c>
      <c r="B20" s="98">
        <f t="shared" ref="B20:O20" si="2">SUM(B17:B19)</f>
        <v>587.71100000000001</v>
      </c>
      <c r="C20" s="98">
        <f t="shared" si="2"/>
        <v>320.98500000000001</v>
      </c>
      <c r="D20" s="98">
        <f t="shared" si="2"/>
        <v>120.84599999999999</v>
      </c>
      <c r="E20" s="98">
        <f t="shared" si="2"/>
        <v>38.373000000000005</v>
      </c>
      <c r="F20" s="98">
        <f t="shared" si="2"/>
        <v>91.6</v>
      </c>
      <c r="G20" s="98">
        <f t="shared" si="2"/>
        <v>198.06799999999998</v>
      </c>
      <c r="H20" s="98">
        <f t="shared" si="2"/>
        <v>19.623999999999999</v>
      </c>
      <c r="I20" s="98">
        <f t="shared" si="2"/>
        <v>1377.2069999999999</v>
      </c>
      <c r="J20" s="98">
        <f t="shared" si="2"/>
        <v>14.613000000000001</v>
      </c>
      <c r="K20" s="98">
        <f t="shared" si="2"/>
        <v>589.84500000000003</v>
      </c>
      <c r="L20" s="98">
        <f t="shared" si="2"/>
        <v>329.75</v>
      </c>
      <c r="M20" s="98">
        <f t="shared" si="2"/>
        <v>107.316</v>
      </c>
      <c r="N20" s="98">
        <f t="shared" si="2"/>
        <v>1041.5239999999999</v>
      </c>
      <c r="O20" s="3">
        <f t="shared" si="2"/>
        <v>2418.7309999999998</v>
      </c>
    </row>
    <row r="21" spans="1:15" ht="12.75" customHeight="1" x14ac:dyDescent="0.2">
      <c r="A21" s="153" t="s">
        <v>135</v>
      </c>
      <c r="B21" s="98">
        <v>208.94200000000001</v>
      </c>
      <c r="C21" s="98">
        <v>116.051</v>
      </c>
      <c r="D21" s="98">
        <v>39.738</v>
      </c>
      <c r="E21" s="98">
        <v>16.466000000000001</v>
      </c>
      <c r="F21" s="98">
        <v>24.125</v>
      </c>
      <c r="G21" s="98">
        <v>59.164000000000001</v>
      </c>
      <c r="H21" s="98">
        <v>5.92</v>
      </c>
      <c r="I21" s="98">
        <f>SUM(B21:H21)</f>
        <v>470.40600000000001</v>
      </c>
      <c r="J21" s="98">
        <v>5.0720000000000001</v>
      </c>
      <c r="K21" s="98">
        <v>235.148</v>
      </c>
      <c r="L21" s="98">
        <v>142.48699999999999</v>
      </c>
      <c r="M21" s="98">
        <f>3.545+19.376</f>
        <v>22.920999999999999</v>
      </c>
      <c r="N21" s="98">
        <f>SUM(J21:M21)</f>
        <v>405.62799999999999</v>
      </c>
      <c r="O21" s="3">
        <f>I21+N21</f>
        <v>876.03399999999999</v>
      </c>
    </row>
    <row r="22" spans="1:15" ht="12.75" customHeight="1" x14ac:dyDescent="0.2">
      <c r="A22" s="153" t="s">
        <v>148</v>
      </c>
      <c r="B22" s="98">
        <v>180.84299999999999</v>
      </c>
      <c r="C22" s="98">
        <v>100.97</v>
      </c>
      <c r="D22" s="98">
        <v>40.524000000000001</v>
      </c>
      <c r="E22" s="98">
        <v>13.721</v>
      </c>
      <c r="F22" s="98">
        <v>21.259</v>
      </c>
      <c r="G22" s="98">
        <v>56.957999999999998</v>
      </c>
      <c r="H22" s="98">
        <v>4.859</v>
      </c>
      <c r="I22" s="98">
        <f>SUM(B22:H22)</f>
        <v>419.13399999999996</v>
      </c>
      <c r="J22" s="98">
        <v>4.9009999999999998</v>
      </c>
      <c r="K22" s="98">
        <v>221.339</v>
      </c>
      <c r="L22" s="98">
        <v>137.42099999999999</v>
      </c>
      <c r="M22" s="98">
        <f>3.688+17.462</f>
        <v>21.15</v>
      </c>
      <c r="N22" s="98">
        <f>SUM(J22:M22)</f>
        <v>384.81099999999998</v>
      </c>
      <c r="O22" s="4">
        <f>I22+N22</f>
        <v>803.94499999999994</v>
      </c>
    </row>
    <row r="23" spans="1:15" ht="12.75" customHeight="1" x14ac:dyDescent="0.2">
      <c r="A23" s="153" t="s">
        <v>87</v>
      </c>
      <c r="B23" s="98">
        <v>151.523</v>
      </c>
      <c r="C23" s="98">
        <v>73.539000000000001</v>
      </c>
      <c r="D23" s="98">
        <v>32.109000000000002</v>
      </c>
      <c r="E23" s="98">
        <v>10.948</v>
      </c>
      <c r="F23" s="98">
        <v>20.379000000000001</v>
      </c>
      <c r="G23" s="98">
        <v>48.887</v>
      </c>
      <c r="H23" s="98">
        <v>5.4039999999999999</v>
      </c>
      <c r="I23" s="98">
        <f>SUM(B23:H23)</f>
        <v>342.78899999999999</v>
      </c>
      <c r="J23" s="98">
        <v>4.0250000000000004</v>
      </c>
      <c r="K23" s="98">
        <v>192.14599999999999</v>
      </c>
      <c r="L23" s="98">
        <v>109.205</v>
      </c>
      <c r="M23" s="98">
        <f>2.375+13.578</f>
        <v>15.952999999999999</v>
      </c>
      <c r="N23" s="98">
        <f>SUM(J23:M23)</f>
        <v>321.32899999999995</v>
      </c>
      <c r="O23" s="4">
        <f>I23+N23</f>
        <v>664.11799999999994</v>
      </c>
    </row>
    <row r="24" spans="1:15" x14ac:dyDescent="0.2">
      <c r="A24" s="153" t="s">
        <v>129</v>
      </c>
      <c r="B24" s="98">
        <f t="shared" ref="B24:O24" si="3">SUM(B21:B23)</f>
        <v>541.30799999999999</v>
      </c>
      <c r="C24" s="98">
        <f t="shared" si="3"/>
        <v>290.56</v>
      </c>
      <c r="D24" s="98">
        <f t="shared" si="3"/>
        <v>112.37100000000001</v>
      </c>
      <c r="E24" s="98">
        <f t="shared" si="3"/>
        <v>41.135000000000005</v>
      </c>
      <c r="F24" s="98">
        <f t="shared" si="3"/>
        <v>65.763000000000005</v>
      </c>
      <c r="G24" s="98">
        <f t="shared" si="3"/>
        <v>165.00900000000001</v>
      </c>
      <c r="H24" s="98">
        <f t="shared" si="3"/>
        <v>16.183</v>
      </c>
      <c r="I24" s="98">
        <f t="shared" si="3"/>
        <v>1232.329</v>
      </c>
      <c r="J24" s="98">
        <f t="shared" si="3"/>
        <v>13.997999999999999</v>
      </c>
      <c r="K24" s="98">
        <f t="shared" si="3"/>
        <v>648.63299999999992</v>
      </c>
      <c r="L24" s="98">
        <f t="shared" si="3"/>
        <v>389.113</v>
      </c>
      <c r="M24" s="98">
        <f t="shared" si="3"/>
        <v>60.024000000000001</v>
      </c>
      <c r="N24" s="98">
        <f t="shared" si="3"/>
        <v>1111.768</v>
      </c>
      <c r="O24" s="4">
        <f t="shared" si="3"/>
        <v>2344.0969999999998</v>
      </c>
    </row>
    <row r="25" spans="1:15" x14ac:dyDescent="0.2">
      <c r="A25" s="76"/>
      <c r="B25" s="98"/>
      <c r="C25" s="98"/>
      <c r="D25" s="98"/>
      <c r="E25" s="98"/>
      <c r="F25" s="98"/>
      <c r="G25" s="98"/>
      <c r="H25" s="98"/>
      <c r="I25" s="98"/>
      <c r="J25" s="98"/>
      <c r="K25" s="98"/>
      <c r="L25" s="98"/>
      <c r="M25" s="98"/>
      <c r="N25" s="98"/>
      <c r="O25" s="4"/>
    </row>
    <row r="26" spans="1:15" x14ac:dyDescent="0.2">
      <c r="A26" s="76">
        <v>2002</v>
      </c>
      <c r="B26" s="98"/>
      <c r="C26" s="98"/>
      <c r="D26" s="98"/>
      <c r="E26" s="98"/>
      <c r="F26" s="98"/>
      <c r="G26" s="98"/>
      <c r="H26" s="98"/>
      <c r="I26" s="98"/>
      <c r="J26" s="98"/>
      <c r="K26" s="98"/>
      <c r="L26" s="98"/>
      <c r="M26" s="98"/>
      <c r="N26" s="98"/>
      <c r="O26" s="4"/>
    </row>
    <row r="27" spans="1:15" ht="12.75" customHeight="1" x14ac:dyDescent="0.2">
      <c r="A27" s="76" t="s">
        <v>74</v>
      </c>
      <c r="B27" s="98">
        <v>177.15799999999999</v>
      </c>
      <c r="C27" s="98">
        <v>102.438</v>
      </c>
      <c r="D27" s="98">
        <v>38.569000000000003</v>
      </c>
      <c r="E27" s="98">
        <v>13.696</v>
      </c>
      <c r="F27" s="98">
        <v>21.803000000000001</v>
      </c>
      <c r="G27" s="98">
        <v>62.581000000000003</v>
      </c>
      <c r="H27" s="98">
        <v>7.6459999999999999</v>
      </c>
      <c r="I27" s="98">
        <f>SUM(B27:H27)</f>
        <v>423.89100000000008</v>
      </c>
      <c r="J27" s="98">
        <v>4.5250000000000004</v>
      </c>
      <c r="K27" s="98">
        <v>181.63499999999999</v>
      </c>
      <c r="L27" s="98">
        <v>80.938000000000002</v>
      </c>
      <c r="M27" s="98">
        <f>3.426+15.06</f>
        <v>18.486000000000001</v>
      </c>
      <c r="N27" s="98">
        <f>SUM(J27:M27)</f>
        <v>285.584</v>
      </c>
      <c r="O27" s="4">
        <f>I27+N27</f>
        <v>709.47500000000014</v>
      </c>
    </row>
    <row r="28" spans="1:15" ht="12.75" customHeight="1" x14ac:dyDescent="0.2">
      <c r="A28" s="76" t="s">
        <v>140</v>
      </c>
      <c r="B28" s="98">
        <v>158.38999999999999</v>
      </c>
      <c r="C28" s="98">
        <v>95.646000000000001</v>
      </c>
      <c r="D28" s="98">
        <v>36.561999999999998</v>
      </c>
      <c r="E28" s="98">
        <v>12.311999999999999</v>
      </c>
      <c r="F28" s="98">
        <v>20.256</v>
      </c>
      <c r="G28" s="98">
        <v>63.896999999999998</v>
      </c>
      <c r="H28" s="98">
        <v>7.6559999999999997</v>
      </c>
      <c r="I28" s="98">
        <f>SUM(B28:H28)</f>
        <v>394.71900000000005</v>
      </c>
      <c r="J28" s="98">
        <v>4.2850000000000001</v>
      </c>
      <c r="K28" s="98">
        <v>158.80199999999999</v>
      </c>
      <c r="L28" s="98">
        <v>83.912000000000006</v>
      </c>
      <c r="M28" s="98">
        <f>2.411+17.428</f>
        <v>19.839000000000002</v>
      </c>
      <c r="N28" s="98">
        <f>SUM(J28:M28)</f>
        <v>266.83800000000002</v>
      </c>
      <c r="O28" s="4">
        <f>I28+N28</f>
        <v>661.55700000000002</v>
      </c>
    </row>
    <row r="29" spans="1:15" ht="12.75" customHeight="1" x14ac:dyDescent="0.2">
      <c r="A29" s="76" t="s">
        <v>76</v>
      </c>
      <c r="B29" s="98">
        <v>162.02000000000001</v>
      </c>
      <c r="C29" s="98">
        <v>98.245000000000005</v>
      </c>
      <c r="D29" s="98">
        <v>42.593000000000004</v>
      </c>
      <c r="E29" s="98">
        <v>13.959</v>
      </c>
      <c r="F29" s="98">
        <v>21.071000000000002</v>
      </c>
      <c r="G29" s="98">
        <v>67.441000000000003</v>
      </c>
      <c r="H29" s="98">
        <v>7.976</v>
      </c>
      <c r="I29" s="98">
        <f>SUM(B29:H29)</f>
        <v>413.30500000000006</v>
      </c>
      <c r="J29" s="98">
        <v>4.1660000000000004</v>
      </c>
      <c r="K29" s="98">
        <v>196.07900000000001</v>
      </c>
      <c r="L29" s="98">
        <v>108.913</v>
      </c>
      <c r="M29" s="98">
        <f>1.929+20.46</f>
        <v>22.388999999999999</v>
      </c>
      <c r="N29" s="98">
        <f>SUM(J29:M29)</f>
        <v>331.54700000000003</v>
      </c>
      <c r="O29" s="4">
        <f>I29+N29</f>
        <v>744.85200000000009</v>
      </c>
    </row>
    <row r="30" spans="1:15" x14ac:dyDescent="0.2">
      <c r="A30" s="86" t="s">
        <v>126</v>
      </c>
      <c r="B30" s="98">
        <f t="shared" ref="B30:O30" si="4">SUM(B27:B29)</f>
        <v>497.56799999999998</v>
      </c>
      <c r="C30" s="98">
        <f t="shared" si="4"/>
        <v>296.32900000000001</v>
      </c>
      <c r="D30" s="98">
        <f t="shared" si="4"/>
        <v>117.724</v>
      </c>
      <c r="E30" s="98">
        <f t="shared" si="4"/>
        <v>39.966999999999999</v>
      </c>
      <c r="F30" s="98">
        <f t="shared" si="4"/>
        <v>63.129999999999995</v>
      </c>
      <c r="G30" s="98">
        <f t="shared" si="4"/>
        <v>193.91900000000001</v>
      </c>
      <c r="H30" s="98">
        <f t="shared" si="4"/>
        <v>23.277999999999999</v>
      </c>
      <c r="I30" s="98">
        <f t="shared" si="4"/>
        <v>1231.9150000000002</v>
      </c>
      <c r="J30" s="98">
        <f t="shared" si="4"/>
        <v>12.976000000000001</v>
      </c>
      <c r="K30" s="98">
        <f t="shared" si="4"/>
        <v>536.51600000000008</v>
      </c>
      <c r="L30" s="98">
        <f t="shared" si="4"/>
        <v>273.76300000000003</v>
      </c>
      <c r="M30" s="98">
        <f t="shared" si="4"/>
        <v>60.713999999999999</v>
      </c>
      <c r="N30" s="98">
        <f t="shared" si="4"/>
        <v>883.96900000000005</v>
      </c>
      <c r="O30" s="4">
        <f t="shared" si="4"/>
        <v>2115.884</v>
      </c>
    </row>
    <row r="31" spans="1:15" ht="12.75" customHeight="1" x14ac:dyDescent="0.2">
      <c r="A31" s="76" t="s">
        <v>78</v>
      </c>
      <c r="B31" s="98">
        <v>171.327</v>
      </c>
      <c r="C31" s="98">
        <v>102.548</v>
      </c>
      <c r="D31" s="98">
        <v>44.924999999999997</v>
      </c>
      <c r="E31" s="98">
        <v>15.781000000000001</v>
      </c>
      <c r="F31" s="98">
        <v>23.672999999999998</v>
      </c>
      <c r="G31" s="98">
        <v>68.823999999999998</v>
      </c>
      <c r="H31" s="98">
        <v>7.7389999999999999</v>
      </c>
      <c r="I31" s="98">
        <f>SUM(B31:H31)</f>
        <v>434.81700000000001</v>
      </c>
      <c r="J31" s="98">
        <v>4.8010000000000002</v>
      </c>
      <c r="K31" s="98">
        <v>177.512</v>
      </c>
      <c r="L31" s="98">
        <v>87.649000000000001</v>
      </c>
      <c r="M31" s="98">
        <f>3.849+18.462</f>
        <v>22.311</v>
      </c>
      <c r="N31" s="98">
        <f>SUM(J31:M31)</f>
        <v>292.27299999999997</v>
      </c>
      <c r="O31" s="4">
        <f>I31+N31</f>
        <v>727.08999999999992</v>
      </c>
    </row>
    <row r="32" spans="1:15" ht="12.75" customHeight="1" x14ac:dyDescent="0.2">
      <c r="A32" s="153" t="s">
        <v>79</v>
      </c>
      <c r="B32" s="98">
        <v>178.82599999999999</v>
      </c>
      <c r="C32" s="98">
        <v>98.183000000000007</v>
      </c>
      <c r="D32" s="98">
        <v>46.787999999999997</v>
      </c>
      <c r="E32" s="98">
        <v>16.404</v>
      </c>
      <c r="F32" s="98">
        <v>27.602</v>
      </c>
      <c r="G32" s="98">
        <v>64.137</v>
      </c>
      <c r="H32" s="98">
        <v>9.65</v>
      </c>
      <c r="I32" s="98">
        <f>SUM(B32:H32)</f>
        <v>441.59</v>
      </c>
      <c r="J32" s="98">
        <v>4.9420000000000002</v>
      </c>
      <c r="K32" s="98">
        <v>194.185</v>
      </c>
      <c r="L32" s="98">
        <v>106.621</v>
      </c>
      <c r="M32" s="98">
        <f>18.736+25.045</f>
        <v>43.781000000000006</v>
      </c>
      <c r="N32" s="98">
        <f>SUM(J32:M32)</f>
        <v>349.529</v>
      </c>
      <c r="O32" s="4">
        <f>I32+N32</f>
        <v>791.11899999999991</v>
      </c>
    </row>
    <row r="33" spans="1:15" ht="12.75" customHeight="1" x14ac:dyDescent="0.2">
      <c r="A33" s="153" t="s">
        <v>89</v>
      </c>
      <c r="B33" s="98">
        <v>171.244</v>
      </c>
      <c r="C33" s="98">
        <v>105.62</v>
      </c>
      <c r="D33" s="98">
        <v>48.905999999999999</v>
      </c>
      <c r="E33" s="98">
        <v>17.596</v>
      </c>
      <c r="F33" s="98">
        <v>33.207999999999998</v>
      </c>
      <c r="G33" s="98">
        <v>53.414000000000001</v>
      </c>
      <c r="H33" s="98">
        <v>9.1609999999999996</v>
      </c>
      <c r="I33" s="98">
        <f>SUM(B33:H33)</f>
        <v>439.14900000000006</v>
      </c>
      <c r="J33" s="98">
        <v>4.7249999999999996</v>
      </c>
      <c r="K33" s="98">
        <v>198.73500000000001</v>
      </c>
      <c r="L33" s="98">
        <v>111.08</v>
      </c>
      <c r="M33" s="98">
        <f>21.779+5.39</f>
        <v>27.169</v>
      </c>
      <c r="N33" s="98">
        <f>SUM(J33:M33)</f>
        <v>341.709</v>
      </c>
      <c r="O33" s="4">
        <f>I33+N33</f>
        <v>780.85800000000006</v>
      </c>
    </row>
    <row r="34" spans="1:15" x14ac:dyDescent="0.2">
      <c r="A34" s="153" t="s">
        <v>127</v>
      </c>
      <c r="B34" s="98">
        <f t="shared" ref="B34:O34" si="5">SUM(B31:B33)</f>
        <v>521.39700000000005</v>
      </c>
      <c r="C34" s="98">
        <f t="shared" si="5"/>
        <v>306.351</v>
      </c>
      <c r="D34" s="98">
        <f t="shared" si="5"/>
        <v>140.619</v>
      </c>
      <c r="E34" s="98">
        <f t="shared" si="5"/>
        <v>49.781000000000006</v>
      </c>
      <c r="F34" s="98">
        <f t="shared" si="5"/>
        <v>84.483000000000004</v>
      </c>
      <c r="G34" s="98">
        <f t="shared" si="5"/>
        <v>186.375</v>
      </c>
      <c r="H34" s="98">
        <f t="shared" si="5"/>
        <v>26.549999999999997</v>
      </c>
      <c r="I34" s="98">
        <f t="shared" si="5"/>
        <v>1315.556</v>
      </c>
      <c r="J34" s="98">
        <f t="shared" si="5"/>
        <v>14.468</v>
      </c>
      <c r="K34" s="98">
        <f t="shared" si="5"/>
        <v>570.43200000000002</v>
      </c>
      <c r="L34" s="98">
        <f t="shared" si="5"/>
        <v>305.34999999999997</v>
      </c>
      <c r="M34" s="98">
        <f t="shared" si="5"/>
        <v>93.26100000000001</v>
      </c>
      <c r="N34" s="98">
        <f t="shared" si="5"/>
        <v>983.51099999999997</v>
      </c>
      <c r="O34" s="4">
        <f t="shared" si="5"/>
        <v>2299.067</v>
      </c>
    </row>
    <row r="35" spans="1:15" ht="12.75" customHeight="1" x14ac:dyDescent="0.2">
      <c r="A35" s="153" t="s">
        <v>90</v>
      </c>
      <c r="B35" s="98">
        <v>178.91</v>
      </c>
      <c r="C35" s="98">
        <v>108.584</v>
      </c>
      <c r="D35" s="98">
        <v>46.746000000000002</v>
      </c>
      <c r="E35" s="98">
        <v>17.515999999999998</v>
      </c>
      <c r="F35" s="98">
        <v>29.164000000000001</v>
      </c>
      <c r="G35" s="98">
        <v>59.094999999999999</v>
      </c>
      <c r="H35" s="98">
        <v>8.7159999999999993</v>
      </c>
      <c r="I35" s="98">
        <f>SUM(B35:H35)</f>
        <v>448.73099999999999</v>
      </c>
      <c r="J35" s="98">
        <v>4.298</v>
      </c>
      <c r="K35" s="98">
        <v>198.23400000000001</v>
      </c>
      <c r="L35" s="98">
        <v>118.18300000000001</v>
      </c>
      <c r="M35" s="98">
        <f>7.21+22.465</f>
        <v>29.675000000000001</v>
      </c>
      <c r="N35" s="98">
        <f>SUM(J35:M35)</f>
        <v>350.39000000000004</v>
      </c>
      <c r="O35" s="4">
        <f>I35+N35</f>
        <v>799.12100000000009</v>
      </c>
    </row>
    <row r="36" spans="1:15" ht="12.75" customHeight="1" x14ac:dyDescent="0.2">
      <c r="A36" s="153" t="s">
        <v>81</v>
      </c>
      <c r="B36" s="98">
        <v>188.66900000000001</v>
      </c>
      <c r="C36" s="98">
        <v>110.43</v>
      </c>
      <c r="D36" s="98">
        <v>49.167000000000002</v>
      </c>
      <c r="E36" s="98">
        <v>15.125</v>
      </c>
      <c r="F36" s="98">
        <v>32.765999999999998</v>
      </c>
      <c r="G36" s="98">
        <v>59.965000000000003</v>
      </c>
      <c r="H36" s="98">
        <v>8.173</v>
      </c>
      <c r="I36" s="98">
        <f>SUM(B36:H36)</f>
        <v>464.29500000000007</v>
      </c>
      <c r="J36" s="98">
        <v>4.6130000000000004</v>
      </c>
      <c r="K36" s="98">
        <v>201.02</v>
      </c>
      <c r="L36" s="98">
        <v>113.435</v>
      </c>
      <c r="M36" s="98">
        <f>3.581+24.29</f>
        <v>27.870999999999999</v>
      </c>
      <c r="N36" s="98">
        <f>SUM(J36:M36)</f>
        <v>346.93899999999996</v>
      </c>
      <c r="O36" s="4">
        <f>I36+N36</f>
        <v>811.23400000000004</v>
      </c>
    </row>
    <row r="37" spans="1:15" ht="12.75" customHeight="1" x14ac:dyDescent="0.2">
      <c r="A37" s="153" t="s">
        <v>82</v>
      </c>
      <c r="B37" s="98">
        <v>191.24299999999999</v>
      </c>
      <c r="C37" s="98">
        <v>101.68</v>
      </c>
      <c r="D37" s="98">
        <v>49.372</v>
      </c>
      <c r="E37" s="98">
        <v>18.154</v>
      </c>
      <c r="F37" s="98">
        <v>29.611999999999998</v>
      </c>
      <c r="G37" s="98">
        <v>55.125999999999998</v>
      </c>
      <c r="H37" s="98">
        <v>10.839</v>
      </c>
      <c r="I37" s="98">
        <f>SUM(B37:H37)</f>
        <v>456.02600000000001</v>
      </c>
      <c r="J37" s="98">
        <v>4.391</v>
      </c>
      <c r="K37" s="98">
        <v>238.916</v>
      </c>
      <c r="L37" s="98">
        <v>121.587</v>
      </c>
      <c r="M37" s="98">
        <f>5.159+63.422</f>
        <v>68.581000000000003</v>
      </c>
      <c r="N37" s="98">
        <f>SUM(J37:M37)</f>
        <v>433.47500000000002</v>
      </c>
      <c r="O37" s="4">
        <f>I37+N37</f>
        <v>889.50099999999998</v>
      </c>
    </row>
    <row r="38" spans="1:15" x14ac:dyDescent="0.2">
      <c r="A38" s="153" t="s">
        <v>128</v>
      </c>
      <c r="B38" s="98">
        <f t="shared" ref="B38:O38" si="6">SUM(B35:B37)</f>
        <v>558.822</v>
      </c>
      <c r="C38" s="98">
        <f t="shared" si="6"/>
        <v>320.69400000000002</v>
      </c>
      <c r="D38" s="98">
        <f t="shared" si="6"/>
        <v>145.28500000000003</v>
      </c>
      <c r="E38" s="98">
        <f t="shared" si="6"/>
        <v>50.795000000000002</v>
      </c>
      <c r="F38" s="98">
        <f t="shared" si="6"/>
        <v>91.542000000000002</v>
      </c>
      <c r="G38" s="98">
        <f t="shared" si="6"/>
        <v>174.18600000000001</v>
      </c>
      <c r="H38" s="98">
        <f t="shared" si="6"/>
        <v>27.728000000000002</v>
      </c>
      <c r="I38" s="98">
        <f t="shared" si="6"/>
        <v>1369.0520000000001</v>
      </c>
      <c r="J38" s="98">
        <f t="shared" si="6"/>
        <v>13.302000000000001</v>
      </c>
      <c r="K38" s="98">
        <f t="shared" si="6"/>
        <v>638.17000000000007</v>
      </c>
      <c r="L38" s="98">
        <f t="shared" si="6"/>
        <v>353.20499999999998</v>
      </c>
      <c r="M38" s="98">
        <f t="shared" si="6"/>
        <v>126.12700000000001</v>
      </c>
      <c r="N38" s="98">
        <f t="shared" si="6"/>
        <v>1130.8040000000001</v>
      </c>
      <c r="O38" s="4">
        <f t="shared" si="6"/>
        <v>2499.8559999999998</v>
      </c>
    </row>
    <row r="39" spans="1:15" ht="12.75" customHeight="1" x14ac:dyDescent="0.2">
      <c r="A39" s="153" t="s">
        <v>135</v>
      </c>
      <c r="B39" s="98">
        <v>192.517</v>
      </c>
      <c r="C39" s="98">
        <v>118.11799999999999</v>
      </c>
      <c r="D39" s="98">
        <v>44.548999999999999</v>
      </c>
      <c r="E39" s="98">
        <v>16.611000000000001</v>
      </c>
      <c r="F39" s="98">
        <v>20.873999999999999</v>
      </c>
      <c r="G39" s="98">
        <v>56.372</v>
      </c>
      <c r="H39" s="98">
        <v>7.4589999999999996</v>
      </c>
      <c r="I39" s="98">
        <f>SUM(B39:H39)</f>
        <v>456.5</v>
      </c>
      <c r="J39" s="98">
        <v>3.7</v>
      </c>
      <c r="K39" s="98">
        <v>268.95</v>
      </c>
      <c r="L39" s="98">
        <v>140.703</v>
      </c>
      <c r="M39" s="98">
        <f>2.122+10.98</f>
        <v>13.102</v>
      </c>
      <c r="N39" s="98">
        <f>SUM(J39:M39)</f>
        <v>426.45499999999993</v>
      </c>
      <c r="O39" s="4">
        <f>I39+N39</f>
        <v>882.95499999999993</v>
      </c>
    </row>
    <row r="40" spans="1:15" ht="12.75" customHeight="1" x14ac:dyDescent="0.2">
      <c r="A40" s="153" t="s">
        <v>148</v>
      </c>
      <c r="B40" s="98">
        <v>155.97</v>
      </c>
      <c r="C40" s="98">
        <v>98.436000000000007</v>
      </c>
      <c r="D40" s="98">
        <v>40.959000000000003</v>
      </c>
      <c r="E40" s="98">
        <v>16.170000000000002</v>
      </c>
      <c r="F40" s="98">
        <v>18.148</v>
      </c>
      <c r="G40" s="98">
        <v>55.719000000000001</v>
      </c>
      <c r="H40" s="98">
        <v>7.3659999999999997</v>
      </c>
      <c r="I40" s="98">
        <f>SUM(B40:H40)</f>
        <v>392.76800000000003</v>
      </c>
      <c r="J40" s="98">
        <v>4.5149999999999997</v>
      </c>
      <c r="K40" s="98">
        <v>209.66900000000001</v>
      </c>
      <c r="L40" s="98">
        <v>135.761</v>
      </c>
      <c r="M40" s="98">
        <f>15.406+2.675</f>
        <v>18.081</v>
      </c>
      <c r="N40" s="98">
        <f>SUM(J40:M40)</f>
        <v>368.02600000000001</v>
      </c>
      <c r="O40" s="4">
        <f>I40+N40</f>
        <v>760.7940000000001</v>
      </c>
    </row>
    <row r="41" spans="1:15" ht="12.75" customHeight="1" x14ac:dyDescent="0.2">
      <c r="A41" s="153" t="s">
        <v>87</v>
      </c>
      <c r="B41" s="98">
        <v>148.41999999999999</v>
      </c>
      <c r="C41" s="98">
        <v>83.415999999999997</v>
      </c>
      <c r="D41" s="98">
        <v>39.756999999999998</v>
      </c>
      <c r="E41" s="98">
        <v>15.292</v>
      </c>
      <c r="F41" s="98">
        <v>18.363</v>
      </c>
      <c r="G41" s="98">
        <v>58.02</v>
      </c>
      <c r="H41" s="98">
        <v>6.8789999999999996</v>
      </c>
      <c r="I41" s="98">
        <f>SUM(B41:H41)</f>
        <v>370.14699999999993</v>
      </c>
      <c r="J41" s="98">
        <v>4.1950000000000003</v>
      </c>
      <c r="K41" s="98">
        <v>182.559</v>
      </c>
      <c r="L41" s="98">
        <v>112.989</v>
      </c>
      <c r="M41" s="98">
        <f>1.494+14.293</f>
        <v>15.786999999999999</v>
      </c>
      <c r="N41" s="98">
        <f>SUM(J41:M41)</f>
        <v>315.52999999999997</v>
      </c>
      <c r="O41" s="4">
        <f>I41+N41</f>
        <v>685.67699999999991</v>
      </c>
    </row>
    <row r="42" spans="1:15" x14ac:dyDescent="0.2">
      <c r="A42" s="153" t="s">
        <v>129</v>
      </c>
      <c r="B42" s="98">
        <f t="shared" ref="B42:O42" si="7">SUM(B39:B41)</f>
        <v>496.90699999999993</v>
      </c>
      <c r="C42" s="98">
        <f t="shared" si="7"/>
        <v>299.97000000000003</v>
      </c>
      <c r="D42" s="98">
        <f t="shared" si="7"/>
        <v>125.26500000000001</v>
      </c>
      <c r="E42" s="98">
        <f t="shared" si="7"/>
        <v>48.073000000000008</v>
      </c>
      <c r="F42" s="98">
        <f t="shared" si="7"/>
        <v>57.384999999999998</v>
      </c>
      <c r="G42" s="98">
        <f t="shared" si="7"/>
        <v>170.11100000000002</v>
      </c>
      <c r="H42" s="98">
        <f t="shared" si="7"/>
        <v>21.704000000000001</v>
      </c>
      <c r="I42" s="98">
        <f t="shared" si="7"/>
        <v>1219.415</v>
      </c>
      <c r="J42" s="98">
        <f t="shared" si="7"/>
        <v>12.41</v>
      </c>
      <c r="K42" s="98">
        <f t="shared" si="7"/>
        <v>661.178</v>
      </c>
      <c r="L42" s="98">
        <f t="shared" si="7"/>
        <v>389.45299999999997</v>
      </c>
      <c r="M42" s="98">
        <f t="shared" si="7"/>
        <v>46.97</v>
      </c>
      <c r="N42" s="98">
        <f t="shared" si="7"/>
        <v>1110.011</v>
      </c>
      <c r="O42" s="4">
        <f t="shared" si="7"/>
        <v>2329.4259999999999</v>
      </c>
    </row>
    <row r="43" spans="1:15" x14ac:dyDescent="0.2">
      <c r="A43" s="76"/>
      <c r="B43" s="98"/>
      <c r="C43" s="98"/>
      <c r="D43" s="98"/>
      <c r="E43" s="98"/>
      <c r="F43" s="98"/>
      <c r="G43" s="98"/>
      <c r="H43" s="98"/>
      <c r="I43" s="98"/>
      <c r="J43" s="98"/>
      <c r="K43" s="98"/>
      <c r="L43" s="98"/>
      <c r="M43" s="98"/>
      <c r="N43" s="98"/>
      <c r="O43" s="4"/>
    </row>
    <row r="44" spans="1:15" x14ac:dyDescent="0.2">
      <c r="A44" s="76">
        <v>2003</v>
      </c>
      <c r="B44" s="98"/>
      <c r="C44" s="98"/>
      <c r="D44" s="98"/>
      <c r="E44" s="98"/>
      <c r="F44" s="98"/>
      <c r="G44" s="98"/>
      <c r="H44" s="98"/>
      <c r="I44" s="98"/>
      <c r="J44" s="98"/>
      <c r="K44" s="98"/>
      <c r="L44" s="98"/>
      <c r="M44" s="98"/>
      <c r="N44" s="98"/>
      <c r="O44" s="4"/>
    </row>
    <row r="45" spans="1:15" ht="12.75" customHeight="1" x14ac:dyDescent="0.2">
      <c r="A45" s="76" t="s">
        <v>74</v>
      </c>
      <c r="B45" s="98">
        <v>167.83</v>
      </c>
      <c r="C45" s="98">
        <v>93.980999999999995</v>
      </c>
      <c r="D45" s="98">
        <v>37.901000000000003</v>
      </c>
      <c r="E45" s="98">
        <v>15.275</v>
      </c>
      <c r="F45" s="98">
        <v>21.335000000000001</v>
      </c>
      <c r="G45" s="98">
        <v>65.808000000000007</v>
      </c>
      <c r="H45" s="98">
        <v>7.2939999999999996</v>
      </c>
      <c r="I45" s="98">
        <f>SUM(B45:H45)</f>
        <v>409.42399999999998</v>
      </c>
      <c r="J45" s="98">
        <v>4.1130000000000004</v>
      </c>
      <c r="K45" s="98">
        <v>159.887</v>
      </c>
      <c r="L45" s="98">
        <v>75.073999999999998</v>
      </c>
      <c r="M45" s="98">
        <f>2.389+12.998</f>
        <v>15.386999999999999</v>
      </c>
      <c r="N45" s="98">
        <f>SUM(J45:M45)</f>
        <v>254.46100000000001</v>
      </c>
      <c r="O45" s="4">
        <f>I45+N45</f>
        <v>663.88499999999999</v>
      </c>
    </row>
    <row r="46" spans="1:15" ht="12.75" customHeight="1" x14ac:dyDescent="0.2">
      <c r="A46" s="76" t="s">
        <v>140</v>
      </c>
      <c r="B46" s="98">
        <v>152.69399999999999</v>
      </c>
      <c r="C46" s="98">
        <v>89.602000000000004</v>
      </c>
      <c r="D46" s="98">
        <v>41.145000000000003</v>
      </c>
      <c r="E46" s="98">
        <v>14.846</v>
      </c>
      <c r="F46" s="98">
        <v>23.779</v>
      </c>
      <c r="G46" s="98">
        <v>50.978999999999999</v>
      </c>
      <c r="H46" s="98">
        <v>7.6440000000000001</v>
      </c>
      <c r="I46" s="98">
        <f>SUM(B46:H46)</f>
        <v>380.68899999999996</v>
      </c>
      <c r="J46" s="98">
        <v>3.48</v>
      </c>
      <c r="K46" s="98">
        <v>176.584</v>
      </c>
      <c r="L46" s="98">
        <v>77.662999999999997</v>
      </c>
      <c r="M46" s="98">
        <f>2.297+19.143</f>
        <v>21.44</v>
      </c>
      <c r="N46" s="98">
        <f>SUM(J46:M46)</f>
        <v>279.16699999999997</v>
      </c>
      <c r="O46" s="4">
        <f>I46+N46</f>
        <v>659.85599999999999</v>
      </c>
    </row>
    <row r="47" spans="1:15" ht="12.75" customHeight="1" x14ac:dyDescent="0.2">
      <c r="A47" s="76" t="s">
        <v>76</v>
      </c>
      <c r="B47" s="98">
        <v>178.94300000000001</v>
      </c>
      <c r="C47" s="98">
        <v>99.031000000000006</v>
      </c>
      <c r="D47" s="98">
        <v>46.749000000000002</v>
      </c>
      <c r="E47" s="98">
        <v>18.481999999999999</v>
      </c>
      <c r="F47" s="98">
        <v>25.556000000000001</v>
      </c>
      <c r="G47" s="98">
        <v>59.969000000000001</v>
      </c>
      <c r="H47" s="98">
        <v>8.4489999999999998</v>
      </c>
      <c r="I47" s="98">
        <f>SUM(B47:H47)</f>
        <v>437.17900000000003</v>
      </c>
      <c r="J47" s="98">
        <v>4.6379999999999999</v>
      </c>
      <c r="K47" s="98">
        <v>207.19399999999999</v>
      </c>
      <c r="L47" s="98">
        <v>102.133</v>
      </c>
      <c r="M47" s="98">
        <f>2.459+19.276</f>
        <v>21.734999999999999</v>
      </c>
      <c r="N47" s="98">
        <f>SUM(J47:M47)</f>
        <v>335.7</v>
      </c>
      <c r="O47" s="4">
        <f>I47+N47</f>
        <v>772.87900000000002</v>
      </c>
    </row>
    <row r="48" spans="1:15" x14ac:dyDescent="0.2">
      <c r="A48" s="86" t="s">
        <v>126</v>
      </c>
      <c r="B48" s="98">
        <f>SUM(B45:B47)</f>
        <v>499.46699999999998</v>
      </c>
      <c r="C48" s="98">
        <f t="shared" ref="C48:O48" si="8">SUM(C45:C47)</f>
        <v>282.61400000000003</v>
      </c>
      <c r="D48" s="98">
        <f t="shared" si="8"/>
        <v>125.79500000000002</v>
      </c>
      <c r="E48" s="98">
        <f t="shared" si="8"/>
        <v>48.603000000000002</v>
      </c>
      <c r="F48" s="98">
        <f t="shared" si="8"/>
        <v>70.67</v>
      </c>
      <c r="G48" s="98">
        <f t="shared" si="8"/>
        <v>176.756</v>
      </c>
      <c r="H48" s="98">
        <f t="shared" si="8"/>
        <v>23.387</v>
      </c>
      <c r="I48" s="98">
        <f t="shared" si="8"/>
        <v>1227.2919999999999</v>
      </c>
      <c r="J48" s="98">
        <f t="shared" si="8"/>
        <v>12.231</v>
      </c>
      <c r="K48" s="98">
        <f t="shared" si="8"/>
        <v>543.66499999999996</v>
      </c>
      <c r="L48" s="98">
        <f t="shared" si="8"/>
        <v>254.87</v>
      </c>
      <c r="M48" s="98">
        <f t="shared" si="8"/>
        <v>58.561999999999998</v>
      </c>
      <c r="N48" s="98">
        <f t="shared" si="8"/>
        <v>869.32799999999997</v>
      </c>
      <c r="O48" s="4">
        <f t="shared" si="8"/>
        <v>2096.62</v>
      </c>
    </row>
    <row r="49" spans="1:15" ht="12.75" customHeight="1" x14ac:dyDescent="0.2">
      <c r="A49" s="76" t="s">
        <v>78</v>
      </c>
      <c r="B49" s="98">
        <v>171.06</v>
      </c>
      <c r="C49" s="98">
        <v>86.494</v>
      </c>
      <c r="D49" s="98">
        <v>44.180999999999997</v>
      </c>
      <c r="E49" s="98">
        <v>17.036999999999999</v>
      </c>
      <c r="F49" s="98">
        <v>24.074999999999999</v>
      </c>
      <c r="G49" s="98">
        <v>53.246000000000002</v>
      </c>
      <c r="H49" s="98">
        <v>8.3979999999999997</v>
      </c>
      <c r="I49" s="98">
        <f>SUM(B49:H49)</f>
        <v>404.49099999999993</v>
      </c>
      <c r="J49" s="98">
        <v>4.952</v>
      </c>
      <c r="K49" s="98">
        <v>199.333</v>
      </c>
      <c r="L49" s="98">
        <v>111.985</v>
      </c>
      <c r="M49" s="98">
        <f>0.903+20.898</f>
        <v>21.800999999999998</v>
      </c>
      <c r="N49" s="98">
        <f>SUM(J49:M49)</f>
        <v>338.07099999999997</v>
      </c>
      <c r="O49" s="4">
        <f>I49+N49</f>
        <v>742.5619999999999</v>
      </c>
    </row>
    <row r="50" spans="1:15" ht="12.75" customHeight="1" x14ac:dyDescent="0.2">
      <c r="A50" s="153" t="s">
        <v>79</v>
      </c>
      <c r="B50" s="98">
        <v>168.036</v>
      </c>
      <c r="C50" s="98">
        <v>90.438999999999993</v>
      </c>
      <c r="D50" s="98">
        <v>44.747999999999998</v>
      </c>
      <c r="E50" s="98">
        <v>18.427</v>
      </c>
      <c r="F50" s="98">
        <v>26.713999999999999</v>
      </c>
      <c r="G50" s="98">
        <v>52.654000000000003</v>
      </c>
      <c r="H50" s="98">
        <v>8.452</v>
      </c>
      <c r="I50" s="98">
        <f>SUM(B50:H50)</f>
        <v>409.47</v>
      </c>
      <c r="J50" s="98">
        <v>3.5649999999999999</v>
      </c>
      <c r="K50" s="98">
        <v>190.50899999999999</v>
      </c>
      <c r="L50" s="98">
        <v>91.296000000000006</v>
      </c>
      <c r="M50" s="98">
        <f>0.811+21.901</f>
        <v>22.712</v>
      </c>
      <c r="N50" s="98">
        <f>SUM(J50:M50)</f>
        <v>308.08199999999999</v>
      </c>
      <c r="O50" s="4">
        <f>I50+N50</f>
        <v>717.55200000000002</v>
      </c>
    </row>
    <row r="51" spans="1:15" ht="12.75" customHeight="1" x14ac:dyDescent="0.2">
      <c r="A51" s="153" t="s">
        <v>89</v>
      </c>
      <c r="B51" s="98">
        <v>176.66900000000001</v>
      </c>
      <c r="C51" s="98">
        <v>103.13800000000001</v>
      </c>
      <c r="D51" s="98">
        <v>53.137</v>
      </c>
      <c r="E51" s="98">
        <v>19.451000000000001</v>
      </c>
      <c r="F51" s="98">
        <v>36.500999999999998</v>
      </c>
      <c r="G51" s="98">
        <v>48.328000000000003</v>
      </c>
      <c r="H51" s="98">
        <v>9.5239999999999991</v>
      </c>
      <c r="I51" s="98">
        <f>SUM(B51:H51)</f>
        <v>446.74800000000005</v>
      </c>
      <c r="J51" s="98">
        <v>4.3529999999999998</v>
      </c>
      <c r="K51" s="98">
        <v>223.91800000000001</v>
      </c>
      <c r="L51" s="98">
        <v>114.723</v>
      </c>
      <c r="M51" s="98">
        <f>0.753+20.176</f>
        <v>20.928999999999998</v>
      </c>
      <c r="N51" s="98">
        <f>SUM(J51:M51)</f>
        <v>363.923</v>
      </c>
      <c r="O51" s="4">
        <f>I51+N51</f>
        <v>810.67100000000005</v>
      </c>
    </row>
    <row r="52" spans="1:15" x14ac:dyDescent="0.2">
      <c r="A52" s="153" t="s">
        <v>127</v>
      </c>
      <c r="B52" s="98">
        <f t="shared" ref="B52:O52" si="9">SUM(B49:B51)</f>
        <v>515.76499999999999</v>
      </c>
      <c r="C52" s="98">
        <f t="shared" si="9"/>
        <v>280.07100000000003</v>
      </c>
      <c r="D52" s="98">
        <f t="shared" si="9"/>
        <v>142.066</v>
      </c>
      <c r="E52" s="98">
        <f t="shared" si="9"/>
        <v>54.914999999999999</v>
      </c>
      <c r="F52" s="98">
        <f t="shared" si="9"/>
        <v>87.289999999999992</v>
      </c>
      <c r="G52" s="98">
        <f t="shared" si="9"/>
        <v>154.22800000000001</v>
      </c>
      <c r="H52" s="98">
        <f t="shared" si="9"/>
        <v>26.374000000000002</v>
      </c>
      <c r="I52" s="98">
        <f t="shared" si="9"/>
        <v>1260.7090000000001</v>
      </c>
      <c r="J52" s="98">
        <f t="shared" si="9"/>
        <v>12.87</v>
      </c>
      <c r="K52" s="98">
        <f t="shared" si="9"/>
        <v>613.76</v>
      </c>
      <c r="L52" s="98">
        <f t="shared" si="9"/>
        <v>318.00400000000002</v>
      </c>
      <c r="M52" s="98">
        <f t="shared" si="9"/>
        <v>65.441999999999993</v>
      </c>
      <c r="N52" s="98">
        <f t="shared" si="9"/>
        <v>1010.076</v>
      </c>
      <c r="O52" s="4">
        <f t="shared" si="9"/>
        <v>2270.7849999999999</v>
      </c>
    </row>
    <row r="53" spans="1:15" ht="12.75" customHeight="1" x14ac:dyDescent="0.2">
      <c r="A53" s="153" t="s">
        <v>90</v>
      </c>
      <c r="B53" s="98">
        <v>185.68</v>
      </c>
      <c r="C53" s="98">
        <v>99.691000000000003</v>
      </c>
      <c r="D53" s="98">
        <v>47.734000000000002</v>
      </c>
      <c r="E53" s="98">
        <v>18.576000000000001</v>
      </c>
      <c r="F53" s="98">
        <v>30.108000000000001</v>
      </c>
      <c r="G53" s="98">
        <v>48.787999999999997</v>
      </c>
      <c r="H53" s="98">
        <v>8.6630000000000003</v>
      </c>
      <c r="I53" s="98">
        <f>SUM(B53:H53)</f>
        <v>439.24</v>
      </c>
      <c r="J53" s="98">
        <v>3.1379999999999999</v>
      </c>
      <c r="K53" s="98">
        <v>195.65899999999999</v>
      </c>
      <c r="L53" s="98">
        <v>112.70099999999999</v>
      </c>
      <c r="M53" s="98">
        <f>1.156+20.354</f>
        <v>21.509999999999998</v>
      </c>
      <c r="N53" s="98">
        <f>SUM(J53:M53)</f>
        <v>333.00799999999998</v>
      </c>
      <c r="O53" s="4">
        <f>I53+N53</f>
        <v>772.24800000000005</v>
      </c>
    </row>
    <row r="54" spans="1:15" ht="12.75" customHeight="1" x14ac:dyDescent="0.2">
      <c r="A54" s="153" t="s">
        <v>81</v>
      </c>
      <c r="B54" s="98">
        <v>190.64699999999999</v>
      </c>
      <c r="C54" s="98">
        <v>107.512</v>
      </c>
      <c r="D54" s="98">
        <v>51.43</v>
      </c>
      <c r="E54" s="98">
        <v>19.314</v>
      </c>
      <c r="F54" s="98">
        <v>29.771000000000001</v>
      </c>
      <c r="G54" s="98">
        <v>57.658999999999999</v>
      </c>
      <c r="H54" s="98">
        <v>8.2469999999999999</v>
      </c>
      <c r="I54" s="98">
        <f>SUM(B54:H54)</f>
        <v>464.58000000000004</v>
      </c>
      <c r="J54" s="98">
        <v>4.0469999999999997</v>
      </c>
      <c r="K54" s="98">
        <v>220.81299999999999</v>
      </c>
      <c r="L54" s="98">
        <v>113.214</v>
      </c>
      <c r="M54" s="98">
        <f>0.909+16.589</f>
        <v>17.497999999999998</v>
      </c>
      <c r="N54" s="98">
        <f>SUM(J54:M54)</f>
        <v>355.57199999999995</v>
      </c>
      <c r="O54" s="4">
        <f>I54+N54</f>
        <v>820.15200000000004</v>
      </c>
    </row>
    <row r="55" spans="1:15" ht="12.75" customHeight="1" x14ac:dyDescent="0.2">
      <c r="A55" s="153" t="s">
        <v>82</v>
      </c>
      <c r="B55" s="98">
        <v>211.78299999999999</v>
      </c>
      <c r="C55" s="98">
        <v>91.248000000000005</v>
      </c>
      <c r="D55" s="98">
        <v>47.478000000000002</v>
      </c>
      <c r="E55" s="98">
        <v>18.826000000000001</v>
      </c>
      <c r="F55" s="98">
        <v>25.093</v>
      </c>
      <c r="G55" s="98">
        <v>46.853999999999999</v>
      </c>
      <c r="H55" s="98">
        <v>7.5940000000000003</v>
      </c>
      <c r="I55" s="98">
        <f>SUM(B55:H55)</f>
        <v>448.87600000000003</v>
      </c>
      <c r="J55" s="98">
        <v>3.883</v>
      </c>
      <c r="K55" s="98">
        <v>185.33600000000001</v>
      </c>
      <c r="L55" s="98">
        <v>106.842</v>
      </c>
      <c r="M55" s="98">
        <f>1.034+19.281</f>
        <v>20.314999999999998</v>
      </c>
      <c r="N55" s="98">
        <f>SUM(J55:M55)</f>
        <v>316.37600000000003</v>
      </c>
      <c r="O55" s="4">
        <f>I55+N55</f>
        <v>765.25200000000007</v>
      </c>
    </row>
    <row r="56" spans="1:15" x14ac:dyDescent="0.2">
      <c r="A56" s="153" t="s">
        <v>128</v>
      </c>
      <c r="B56" s="98">
        <f>B53+B54+B55</f>
        <v>588.11</v>
      </c>
      <c r="C56" s="98">
        <f t="shared" ref="C56:O56" si="10">C53+C54+C55</f>
        <v>298.45100000000002</v>
      </c>
      <c r="D56" s="98">
        <f t="shared" si="10"/>
        <v>146.642</v>
      </c>
      <c r="E56" s="98">
        <f t="shared" si="10"/>
        <v>56.716000000000001</v>
      </c>
      <c r="F56" s="98">
        <f t="shared" si="10"/>
        <v>84.972000000000008</v>
      </c>
      <c r="G56" s="98">
        <f t="shared" si="10"/>
        <v>153.30099999999999</v>
      </c>
      <c r="H56" s="98">
        <f t="shared" si="10"/>
        <v>24.504000000000001</v>
      </c>
      <c r="I56" s="98">
        <f t="shared" si="10"/>
        <v>1352.6960000000001</v>
      </c>
      <c r="J56" s="98">
        <f t="shared" si="10"/>
        <v>11.068</v>
      </c>
      <c r="K56" s="98">
        <f t="shared" si="10"/>
        <v>601.80799999999999</v>
      </c>
      <c r="L56" s="98">
        <f t="shared" si="10"/>
        <v>332.75700000000001</v>
      </c>
      <c r="M56" s="98">
        <f t="shared" si="10"/>
        <v>59.322999999999993</v>
      </c>
      <c r="N56" s="98">
        <f t="shared" si="10"/>
        <v>1004.9559999999999</v>
      </c>
      <c r="O56" s="4">
        <f t="shared" si="10"/>
        <v>2357.652</v>
      </c>
    </row>
    <row r="57" spans="1:15" ht="12.75" customHeight="1" x14ac:dyDescent="0.2">
      <c r="A57" s="153" t="s">
        <v>135</v>
      </c>
      <c r="B57" s="98">
        <v>186.399</v>
      </c>
      <c r="C57" s="98">
        <v>102.727</v>
      </c>
      <c r="D57" s="98">
        <v>46.935000000000002</v>
      </c>
      <c r="E57" s="98">
        <v>19.058</v>
      </c>
      <c r="F57" s="98">
        <v>21.056999999999999</v>
      </c>
      <c r="G57" s="98">
        <v>51.875999999999998</v>
      </c>
      <c r="H57" s="98">
        <v>8.18</v>
      </c>
      <c r="I57" s="98">
        <f>SUM(B57:H57)</f>
        <v>436.23199999999997</v>
      </c>
      <c r="J57" s="98">
        <v>5.9189999999999996</v>
      </c>
      <c r="K57" s="98">
        <v>212.13800000000001</v>
      </c>
      <c r="L57" s="98">
        <v>131.64599999999999</v>
      </c>
      <c r="M57" s="98">
        <f>1.121+47.822</f>
        <v>48.943000000000005</v>
      </c>
      <c r="N57" s="98">
        <f>SUM(J57:M57)</f>
        <v>398.64599999999996</v>
      </c>
      <c r="O57" s="4">
        <f>I57+N57</f>
        <v>834.87799999999993</v>
      </c>
    </row>
    <row r="58" spans="1:15" ht="12.75" customHeight="1" x14ac:dyDescent="0.2">
      <c r="A58" s="153" t="s">
        <v>148</v>
      </c>
      <c r="B58" s="98">
        <v>163.81700000000001</v>
      </c>
      <c r="C58" s="98">
        <v>90.622</v>
      </c>
      <c r="D58" s="98">
        <v>45.594999999999999</v>
      </c>
      <c r="E58" s="98">
        <v>18.722000000000001</v>
      </c>
      <c r="F58" s="98">
        <v>20.311</v>
      </c>
      <c r="G58" s="98">
        <v>50.377000000000002</v>
      </c>
      <c r="H58" s="98">
        <v>8.5050000000000008</v>
      </c>
      <c r="I58" s="98">
        <f>SUM(B58:H58)</f>
        <v>397.94899999999996</v>
      </c>
      <c r="J58" s="98">
        <v>4.0019999999999998</v>
      </c>
      <c r="K58" s="98">
        <v>208.57599999999999</v>
      </c>
      <c r="L58" s="98">
        <v>125.04600000000001</v>
      </c>
      <c r="M58" s="98">
        <f>0.994+47.593</f>
        <v>48.587000000000003</v>
      </c>
      <c r="N58" s="98">
        <f>SUM(J58:M58)</f>
        <v>386.21100000000001</v>
      </c>
      <c r="O58" s="4">
        <f>I58+N58</f>
        <v>784.16</v>
      </c>
    </row>
    <row r="59" spans="1:15" ht="12.75" customHeight="1" x14ac:dyDescent="0.2">
      <c r="A59" s="153" t="s">
        <v>87</v>
      </c>
      <c r="B59" s="98">
        <v>154.37899999999999</v>
      </c>
      <c r="C59" s="98">
        <v>75.438000000000002</v>
      </c>
      <c r="D59" s="98">
        <v>41.021000000000001</v>
      </c>
      <c r="E59" s="98">
        <v>16.448</v>
      </c>
      <c r="F59" s="98">
        <v>18.283999999999999</v>
      </c>
      <c r="G59" s="98">
        <v>45.613999999999997</v>
      </c>
      <c r="H59" s="98">
        <v>7.8840000000000003</v>
      </c>
      <c r="I59" s="98">
        <f>SUM(B59:H59)</f>
        <v>359.06799999999998</v>
      </c>
      <c r="J59" s="98">
        <v>5.4249999999999998</v>
      </c>
      <c r="K59" s="98">
        <v>207.417</v>
      </c>
      <c r="L59" s="98">
        <v>116.23399999999999</v>
      </c>
      <c r="M59" s="98">
        <f>1.228+39.166</f>
        <v>40.393999999999998</v>
      </c>
      <c r="N59" s="98">
        <f>SUM(J59:M59)</f>
        <v>369.47</v>
      </c>
      <c r="O59" s="4">
        <f>I59+N59</f>
        <v>728.53800000000001</v>
      </c>
    </row>
    <row r="60" spans="1:15" x14ac:dyDescent="0.2">
      <c r="A60" s="153" t="s">
        <v>129</v>
      </c>
      <c r="B60" s="98">
        <f>SUM(B57:B59)</f>
        <v>504.59500000000003</v>
      </c>
      <c r="C60" s="98">
        <f t="shared" ref="C60:O60" si="11">SUM(C57:C59)</f>
        <v>268.78699999999998</v>
      </c>
      <c r="D60" s="98">
        <f t="shared" si="11"/>
        <v>133.55099999999999</v>
      </c>
      <c r="E60" s="98">
        <f t="shared" si="11"/>
        <v>54.228000000000002</v>
      </c>
      <c r="F60" s="98">
        <f t="shared" si="11"/>
        <v>59.651999999999994</v>
      </c>
      <c r="G60" s="98">
        <f t="shared" si="11"/>
        <v>147.86699999999999</v>
      </c>
      <c r="H60" s="98">
        <f t="shared" si="11"/>
        <v>24.569000000000003</v>
      </c>
      <c r="I60" s="98">
        <f t="shared" si="11"/>
        <v>1193.2489999999998</v>
      </c>
      <c r="J60" s="98">
        <f t="shared" si="11"/>
        <v>15.346</v>
      </c>
      <c r="K60" s="98">
        <f t="shared" si="11"/>
        <v>628.13099999999997</v>
      </c>
      <c r="L60" s="98">
        <f t="shared" si="11"/>
        <v>372.92599999999999</v>
      </c>
      <c r="M60" s="98">
        <f t="shared" si="11"/>
        <v>137.92400000000001</v>
      </c>
      <c r="N60" s="98">
        <f t="shared" si="11"/>
        <v>1154.327</v>
      </c>
      <c r="O60" s="4">
        <f t="shared" si="11"/>
        <v>2347.576</v>
      </c>
    </row>
    <row r="61" spans="1:15" x14ac:dyDescent="0.2">
      <c r="A61" s="86"/>
      <c r="B61" s="98"/>
      <c r="C61" s="98"/>
      <c r="D61" s="98"/>
      <c r="E61" s="98"/>
      <c r="F61" s="98"/>
      <c r="G61" s="98"/>
      <c r="H61" s="98"/>
      <c r="I61" s="98"/>
      <c r="J61" s="98"/>
      <c r="K61" s="98"/>
      <c r="L61" s="98"/>
      <c r="M61" s="98"/>
      <c r="N61" s="98"/>
      <c r="O61" s="4"/>
    </row>
    <row r="62" spans="1:15" x14ac:dyDescent="0.2">
      <c r="A62" s="76">
        <v>2004</v>
      </c>
      <c r="B62" s="98"/>
      <c r="C62" s="98"/>
      <c r="D62" s="98"/>
      <c r="E62" s="98"/>
      <c r="F62" s="98"/>
      <c r="G62" s="98"/>
      <c r="H62" s="98"/>
      <c r="I62" s="98"/>
      <c r="J62" s="98"/>
      <c r="K62" s="98"/>
      <c r="L62" s="98"/>
      <c r="M62" s="98"/>
      <c r="N62" s="98"/>
      <c r="O62" s="4"/>
    </row>
    <row r="63" spans="1:15" ht="12.75" customHeight="1" x14ac:dyDescent="0.2">
      <c r="A63" s="76" t="s">
        <v>74</v>
      </c>
      <c r="B63" s="98">
        <v>167.72399999999999</v>
      </c>
      <c r="C63" s="98">
        <v>85.281999999999996</v>
      </c>
      <c r="D63" s="98">
        <v>41.485999999999997</v>
      </c>
      <c r="E63" s="98">
        <v>17.779</v>
      </c>
      <c r="F63" s="98">
        <v>20.754999999999999</v>
      </c>
      <c r="G63" s="98">
        <v>55.347999999999999</v>
      </c>
      <c r="H63" s="98">
        <v>7.2030000000000003</v>
      </c>
      <c r="I63" s="98">
        <f>SUM(B63:H63)</f>
        <v>395.57699999999994</v>
      </c>
      <c r="J63" s="98">
        <v>4.9139999999999997</v>
      </c>
      <c r="K63" s="98">
        <v>170.798</v>
      </c>
      <c r="L63" s="98">
        <v>72.739999999999995</v>
      </c>
      <c r="M63" s="98">
        <f>4.348+20.61</f>
        <v>24.957999999999998</v>
      </c>
      <c r="N63" s="98">
        <f>SUM(J63:M63)</f>
        <v>273.40999999999997</v>
      </c>
      <c r="O63" s="4">
        <f>I63+N63</f>
        <v>668.98699999999985</v>
      </c>
    </row>
    <row r="64" spans="1:15" ht="12.75" customHeight="1" x14ac:dyDescent="0.2">
      <c r="A64" s="76" t="s">
        <v>140</v>
      </c>
      <c r="B64" s="98">
        <v>170.71899999999999</v>
      </c>
      <c r="C64" s="98">
        <v>90.869</v>
      </c>
      <c r="D64" s="98">
        <v>47.183999999999997</v>
      </c>
      <c r="E64" s="98">
        <v>18.914999999999999</v>
      </c>
      <c r="F64" s="98">
        <v>21.111000000000001</v>
      </c>
      <c r="G64" s="98">
        <v>60.301000000000002</v>
      </c>
      <c r="H64" s="98">
        <v>7.7530000000000001</v>
      </c>
      <c r="I64" s="98">
        <f>SUM(B64:H64)</f>
        <v>416.85199999999992</v>
      </c>
      <c r="J64" s="98">
        <v>5.0369999999999999</v>
      </c>
      <c r="K64" s="98">
        <v>199.53100000000001</v>
      </c>
      <c r="L64" s="98">
        <v>86.251999999999995</v>
      </c>
      <c r="M64" s="98">
        <f>0.655+17.376</f>
        <v>18.031000000000002</v>
      </c>
      <c r="N64" s="98">
        <f>SUM(J64:M64)</f>
        <v>308.851</v>
      </c>
      <c r="O64" s="4">
        <f>I64+N64</f>
        <v>725.70299999999997</v>
      </c>
    </row>
    <row r="65" spans="1:15" ht="12.75" customHeight="1" x14ac:dyDescent="0.2">
      <c r="A65" s="76" t="s">
        <v>76</v>
      </c>
      <c r="B65" s="98">
        <v>183.178</v>
      </c>
      <c r="C65" s="98">
        <v>86.991</v>
      </c>
      <c r="D65" s="98">
        <v>50.512999999999998</v>
      </c>
      <c r="E65" s="98">
        <v>21.361000000000001</v>
      </c>
      <c r="F65" s="98">
        <v>21.949000000000002</v>
      </c>
      <c r="G65" s="98">
        <v>60.853999999999999</v>
      </c>
      <c r="H65" s="98">
        <v>8.4819999999999993</v>
      </c>
      <c r="I65" s="98">
        <f>SUM(B65:H65)</f>
        <v>433.32799999999997</v>
      </c>
      <c r="J65" s="98">
        <v>5.5049999999999999</v>
      </c>
      <c r="K65" s="98">
        <v>213.21199999999999</v>
      </c>
      <c r="L65" s="98">
        <v>101.899</v>
      </c>
      <c r="M65" s="98">
        <f>2.328+17.101</f>
        <v>19.428999999999998</v>
      </c>
      <c r="N65" s="98">
        <f>SUM(J65:M65)</f>
        <v>340.04499999999996</v>
      </c>
      <c r="O65" s="4">
        <f>I65+N65</f>
        <v>773.37299999999993</v>
      </c>
    </row>
    <row r="66" spans="1:15" x14ac:dyDescent="0.2">
      <c r="A66" s="86" t="s">
        <v>126</v>
      </c>
      <c r="B66" s="98">
        <f>B63+B64+B65</f>
        <v>521.62099999999998</v>
      </c>
      <c r="C66" s="98">
        <f t="shared" ref="C66:O66" si="12">C63+C64+C65</f>
        <v>263.142</v>
      </c>
      <c r="D66" s="98">
        <f t="shared" si="12"/>
        <v>139.18299999999999</v>
      </c>
      <c r="E66" s="98">
        <f t="shared" si="12"/>
        <v>58.055000000000007</v>
      </c>
      <c r="F66" s="98">
        <f t="shared" si="12"/>
        <v>63.814999999999998</v>
      </c>
      <c r="G66" s="98">
        <f t="shared" si="12"/>
        <v>176.50299999999999</v>
      </c>
      <c r="H66" s="98">
        <f t="shared" si="12"/>
        <v>23.437999999999999</v>
      </c>
      <c r="I66" s="98">
        <f t="shared" si="12"/>
        <v>1245.7569999999998</v>
      </c>
      <c r="J66" s="98">
        <f t="shared" si="12"/>
        <v>15.456</v>
      </c>
      <c r="K66" s="98">
        <f t="shared" si="12"/>
        <v>583.54099999999994</v>
      </c>
      <c r="L66" s="98">
        <f t="shared" si="12"/>
        <v>260.89099999999996</v>
      </c>
      <c r="M66" s="98">
        <f t="shared" si="12"/>
        <v>62.418000000000006</v>
      </c>
      <c r="N66" s="98">
        <f t="shared" si="12"/>
        <v>922.30599999999993</v>
      </c>
      <c r="O66" s="4">
        <f t="shared" si="12"/>
        <v>2168.0629999999996</v>
      </c>
    </row>
    <row r="67" spans="1:15" ht="12.75" customHeight="1" x14ac:dyDescent="0.2">
      <c r="A67" s="76" t="s">
        <v>78</v>
      </c>
      <c r="B67" s="98">
        <v>189.10300000000001</v>
      </c>
      <c r="C67" s="98">
        <v>87.412999999999997</v>
      </c>
      <c r="D67" s="98">
        <v>50.572000000000003</v>
      </c>
      <c r="E67" s="98">
        <v>20.608000000000001</v>
      </c>
      <c r="F67" s="98">
        <v>25.748999999999999</v>
      </c>
      <c r="G67" s="98">
        <v>54.433</v>
      </c>
      <c r="H67" s="98">
        <v>7.2130000000000001</v>
      </c>
      <c r="I67" s="98">
        <f>SUM(B67:H67)</f>
        <v>435.09100000000007</v>
      </c>
      <c r="J67" s="98">
        <v>7.7080000000000002</v>
      </c>
      <c r="K67" s="98">
        <v>179.327</v>
      </c>
      <c r="L67" s="98">
        <v>96.494</v>
      </c>
      <c r="M67" s="98">
        <f>4.833+18.026</f>
        <v>22.859000000000002</v>
      </c>
      <c r="N67" s="98">
        <f>SUM(J67:M67)</f>
        <v>306.38799999999998</v>
      </c>
      <c r="O67" s="4">
        <f>I67+N67</f>
        <v>741.47900000000004</v>
      </c>
    </row>
    <row r="68" spans="1:15" ht="12.75" customHeight="1" x14ac:dyDescent="0.2">
      <c r="A68" s="153" t="s">
        <v>79</v>
      </c>
      <c r="B68" s="98">
        <v>169.333</v>
      </c>
      <c r="C68" s="98">
        <v>91.965999999999994</v>
      </c>
      <c r="D68" s="98">
        <v>53.347999999999999</v>
      </c>
      <c r="E68" s="98">
        <v>21.077000000000002</v>
      </c>
      <c r="F68" s="98">
        <v>25.061</v>
      </c>
      <c r="G68" s="98">
        <v>57.122</v>
      </c>
      <c r="H68" s="98">
        <v>7.6130000000000004</v>
      </c>
      <c r="I68" s="98">
        <f>SUM(B68:H68)</f>
        <v>425.52</v>
      </c>
      <c r="J68" s="98">
        <v>6.0949999999999998</v>
      </c>
      <c r="K68" s="98">
        <v>173.46899999999999</v>
      </c>
      <c r="L68" s="98">
        <v>99.01</v>
      </c>
      <c r="M68" s="98">
        <f>2.618+16.183</f>
        <v>18.800999999999998</v>
      </c>
      <c r="N68" s="98">
        <f>SUM(J68:M68)</f>
        <v>297.375</v>
      </c>
      <c r="O68" s="4">
        <f>I68+N68</f>
        <v>722.89499999999998</v>
      </c>
    </row>
    <row r="69" spans="1:15" ht="12.75" customHeight="1" x14ac:dyDescent="0.2">
      <c r="A69" s="153" t="s">
        <v>89</v>
      </c>
      <c r="B69" s="98">
        <v>184.78800000000001</v>
      </c>
      <c r="C69" s="98">
        <v>100.83799999999999</v>
      </c>
      <c r="D69" s="98">
        <v>57.598999999999997</v>
      </c>
      <c r="E69" s="98">
        <v>22.446999999999999</v>
      </c>
      <c r="F69" s="98">
        <v>31.158999999999999</v>
      </c>
      <c r="G69" s="98">
        <v>58.679000000000002</v>
      </c>
      <c r="H69" s="98">
        <v>7.5039999999999996</v>
      </c>
      <c r="I69" s="98">
        <f>SUM(B69:H69)</f>
        <v>463.01400000000001</v>
      </c>
      <c r="J69" s="98">
        <v>6.4340000000000002</v>
      </c>
      <c r="K69" s="98">
        <v>211.33</v>
      </c>
      <c r="L69" s="98">
        <v>115.13200000000001</v>
      </c>
      <c r="M69" s="98">
        <f>-6.01+17.789</f>
        <v>11.779000000000002</v>
      </c>
      <c r="N69" s="98">
        <f>SUM(J69:M69)</f>
        <v>344.67500000000001</v>
      </c>
      <c r="O69" s="4">
        <f>I69+N69</f>
        <v>807.68900000000008</v>
      </c>
    </row>
    <row r="70" spans="1:15" x14ac:dyDescent="0.2">
      <c r="A70" s="153" t="s">
        <v>127</v>
      </c>
      <c r="B70" s="98">
        <f t="shared" ref="B70:O70" si="13">B67+B68+B69</f>
        <v>543.22400000000005</v>
      </c>
      <c r="C70" s="98">
        <f t="shared" si="13"/>
        <v>280.21699999999998</v>
      </c>
      <c r="D70" s="98">
        <f t="shared" si="13"/>
        <v>161.51900000000001</v>
      </c>
      <c r="E70" s="98">
        <f t="shared" si="13"/>
        <v>64.132000000000005</v>
      </c>
      <c r="F70" s="98">
        <f t="shared" si="13"/>
        <v>81.968999999999994</v>
      </c>
      <c r="G70" s="98">
        <f t="shared" si="13"/>
        <v>170.23400000000001</v>
      </c>
      <c r="H70" s="98">
        <f t="shared" si="13"/>
        <v>22.33</v>
      </c>
      <c r="I70" s="98">
        <f t="shared" si="13"/>
        <v>1323.625</v>
      </c>
      <c r="J70" s="98">
        <f t="shared" si="13"/>
        <v>20.237000000000002</v>
      </c>
      <c r="K70" s="98">
        <f t="shared" si="13"/>
        <v>564.12599999999998</v>
      </c>
      <c r="L70" s="98">
        <f t="shared" si="13"/>
        <v>310.63600000000002</v>
      </c>
      <c r="M70" s="98">
        <f t="shared" si="13"/>
        <v>53.439</v>
      </c>
      <c r="N70" s="98">
        <f t="shared" si="13"/>
        <v>948.43799999999987</v>
      </c>
      <c r="O70" s="4">
        <f t="shared" si="13"/>
        <v>2272.0630000000001</v>
      </c>
    </row>
    <row r="71" spans="1:15" ht="12.75" customHeight="1" x14ac:dyDescent="0.2">
      <c r="A71" s="153" t="s">
        <v>90</v>
      </c>
      <c r="B71" s="98">
        <v>187.48</v>
      </c>
      <c r="C71" s="98">
        <v>92.525999999999996</v>
      </c>
      <c r="D71" s="98">
        <v>54.709000000000003</v>
      </c>
      <c r="E71" s="98">
        <v>19.565000000000001</v>
      </c>
      <c r="F71" s="98">
        <v>33.49</v>
      </c>
      <c r="G71" s="98">
        <v>58.158999999999999</v>
      </c>
      <c r="H71" s="98">
        <v>7.0030000000000001</v>
      </c>
      <c r="I71" s="98">
        <f>SUM(B71:H71)</f>
        <v>452.93199999999996</v>
      </c>
      <c r="J71" s="98">
        <v>6.2430000000000003</v>
      </c>
      <c r="K71" s="98">
        <v>195.798</v>
      </c>
      <c r="L71" s="98">
        <v>105.79900000000001</v>
      </c>
      <c r="M71" s="98">
        <f>-3.425+18.736</f>
        <v>15.311</v>
      </c>
      <c r="N71" s="98">
        <f>SUM(J71:M71)</f>
        <v>323.15100000000001</v>
      </c>
      <c r="O71" s="4">
        <f>I71+N71</f>
        <v>776.08299999999997</v>
      </c>
    </row>
    <row r="72" spans="1:15" ht="12.75" customHeight="1" x14ac:dyDescent="0.2">
      <c r="A72" s="153" t="s">
        <v>81</v>
      </c>
      <c r="B72" s="98">
        <v>198.982</v>
      </c>
      <c r="C72" s="98">
        <v>109.595</v>
      </c>
      <c r="D72" s="98">
        <v>55.177</v>
      </c>
      <c r="E72" s="98">
        <v>19.111000000000001</v>
      </c>
      <c r="F72" s="98">
        <v>33.222999999999999</v>
      </c>
      <c r="G72" s="98">
        <v>66.882000000000005</v>
      </c>
      <c r="H72" s="98">
        <v>7.7759999999999998</v>
      </c>
      <c r="I72" s="98">
        <f>SUM(B72:H72)</f>
        <v>490.74600000000004</v>
      </c>
      <c r="J72" s="98">
        <v>6.0609999999999999</v>
      </c>
      <c r="K72" s="98">
        <v>222.178</v>
      </c>
      <c r="L72" s="98">
        <v>113.639</v>
      </c>
      <c r="M72" s="98">
        <f>-9.429+20.435</f>
        <v>11.005999999999998</v>
      </c>
      <c r="N72" s="98">
        <f>SUM(J72:M72)</f>
        <v>352.88399999999996</v>
      </c>
      <c r="O72" s="4">
        <f>I72+N72</f>
        <v>843.63</v>
      </c>
    </row>
    <row r="73" spans="1:15" ht="12.75" customHeight="1" x14ac:dyDescent="0.2">
      <c r="A73" s="153" t="s">
        <v>82</v>
      </c>
      <c r="B73" s="98">
        <v>186.13200000000001</v>
      </c>
      <c r="C73" s="98">
        <v>91.039000000000001</v>
      </c>
      <c r="D73" s="98">
        <v>47.616999999999997</v>
      </c>
      <c r="E73" s="98">
        <v>18.922999999999998</v>
      </c>
      <c r="F73" s="98">
        <v>28.37</v>
      </c>
      <c r="G73" s="98">
        <v>53.954999999999998</v>
      </c>
      <c r="H73" s="98">
        <v>7.2519999999999998</v>
      </c>
      <c r="I73" s="98">
        <f>SUM(B73:H73)</f>
        <v>433.28800000000001</v>
      </c>
      <c r="J73" s="98">
        <v>6.6769999999999996</v>
      </c>
      <c r="K73" s="98">
        <v>199.214</v>
      </c>
      <c r="L73" s="98">
        <v>114.419</v>
      </c>
      <c r="M73" s="98">
        <f>0.786+14.448</f>
        <v>15.234</v>
      </c>
      <c r="N73" s="98">
        <f>SUM(J73:M73)</f>
        <v>335.54399999999998</v>
      </c>
      <c r="O73" s="4">
        <f>I73+N73</f>
        <v>768.83199999999999</v>
      </c>
    </row>
    <row r="74" spans="1:15" x14ac:dyDescent="0.2">
      <c r="A74" s="153" t="s">
        <v>128</v>
      </c>
      <c r="B74" s="98">
        <f t="shared" ref="B74:O74" si="14">B71+B72+B73</f>
        <v>572.59400000000005</v>
      </c>
      <c r="C74" s="98">
        <f t="shared" si="14"/>
        <v>293.15999999999997</v>
      </c>
      <c r="D74" s="98">
        <f t="shared" si="14"/>
        <v>157.50299999999999</v>
      </c>
      <c r="E74" s="98">
        <f t="shared" si="14"/>
        <v>57.599000000000004</v>
      </c>
      <c r="F74" s="98">
        <f t="shared" si="14"/>
        <v>95.082999999999998</v>
      </c>
      <c r="G74" s="98">
        <f t="shared" si="14"/>
        <v>178.99599999999998</v>
      </c>
      <c r="H74" s="98">
        <f t="shared" si="14"/>
        <v>22.030999999999999</v>
      </c>
      <c r="I74" s="98">
        <f t="shared" si="14"/>
        <v>1376.9659999999999</v>
      </c>
      <c r="J74" s="98">
        <f t="shared" si="14"/>
        <v>18.981000000000002</v>
      </c>
      <c r="K74" s="98">
        <f t="shared" si="14"/>
        <v>617.19000000000005</v>
      </c>
      <c r="L74" s="98">
        <f t="shared" si="14"/>
        <v>333.85699999999997</v>
      </c>
      <c r="M74" s="98">
        <f t="shared" si="14"/>
        <v>41.551000000000002</v>
      </c>
      <c r="N74" s="98">
        <f t="shared" si="14"/>
        <v>1011.579</v>
      </c>
      <c r="O74" s="4">
        <f t="shared" si="14"/>
        <v>2388.5450000000001</v>
      </c>
    </row>
    <row r="75" spans="1:15" ht="12.75" customHeight="1" x14ac:dyDescent="0.2">
      <c r="A75" s="153" t="s">
        <v>135</v>
      </c>
      <c r="B75" s="98">
        <v>199.42500000000001</v>
      </c>
      <c r="C75" s="98">
        <v>112.504</v>
      </c>
      <c r="D75" s="98">
        <v>54.738999999999997</v>
      </c>
      <c r="E75" s="98">
        <v>23.331</v>
      </c>
      <c r="F75" s="98">
        <v>28.413</v>
      </c>
      <c r="G75" s="98">
        <v>62.826000000000001</v>
      </c>
      <c r="H75" s="98">
        <v>8.8539999999999992</v>
      </c>
      <c r="I75" s="98">
        <f>SUM(B75:H75)</f>
        <v>490.09200000000004</v>
      </c>
      <c r="J75" s="98">
        <v>7.5709999999999997</v>
      </c>
      <c r="K75" s="98">
        <v>240.68700000000001</v>
      </c>
      <c r="L75" s="98">
        <v>133.15</v>
      </c>
      <c r="M75" s="98">
        <f>0.784+25.868</f>
        <v>26.651999999999997</v>
      </c>
      <c r="N75" s="98">
        <f>SUM(J75:M75)</f>
        <v>408.06</v>
      </c>
      <c r="O75" s="4">
        <f>I75+N75</f>
        <v>898.15200000000004</v>
      </c>
    </row>
    <row r="76" spans="1:15" ht="12.75" customHeight="1" x14ac:dyDescent="0.2">
      <c r="A76" s="153" t="s">
        <v>148</v>
      </c>
      <c r="B76" s="98">
        <v>180.9</v>
      </c>
      <c r="C76" s="98">
        <v>95.439000000000007</v>
      </c>
      <c r="D76" s="98">
        <v>47.108000000000004</v>
      </c>
      <c r="E76" s="98">
        <v>20.791</v>
      </c>
      <c r="F76" s="98">
        <v>24.821999999999999</v>
      </c>
      <c r="G76" s="98">
        <v>56.210999999999999</v>
      </c>
      <c r="H76" s="98">
        <v>7.42</v>
      </c>
      <c r="I76" s="98">
        <f>SUM(B76:H76)</f>
        <v>432.69100000000003</v>
      </c>
      <c r="J76" s="98">
        <v>7.4779999999999998</v>
      </c>
      <c r="K76" s="98">
        <v>205.102</v>
      </c>
      <c r="L76" s="98">
        <v>133.15200000000002</v>
      </c>
      <c r="M76" s="98">
        <v>18.527000000000001</v>
      </c>
      <c r="N76" s="98">
        <f>SUM(J76:M76)</f>
        <v>364.25900000000001</v>
      </c>
      <c r="O76" s="4">
        <f>I76+N76</f>
        <v>796.95</v>
      </c>
    </row>
    <row r="77" spans="1:15" ht="12.75" customHeight="1" x14ac:dyDescent="0.2">
      <c r="A77" s="153" t="s">
        <v>87</v>
      </c>
      <c r="B77" s="98">
        <v>162.20699999999999</v>
      </c>
      <c r="C77" s="98">
        <v>80.97</v>
      </c>
      <c r="D77" s="98">
        <v>43.371000000000002</v>
      </c>
      <c r="E77" s="98">
        <v>18.437000000000001</v>
      </c>
      <c r="F77" s="98">
        <v>20.731999999999999</v>
      </c>
      <c r="G77" s="98">
        <v>52.136000000000003</v>
      </c>
      <c r="H77" s="98">
        <v>6.8890000000000002</v>
      </c>
      <c r="I77" s="98">
        <f>SUM(B77:H77)</f>
        <v>384.74200000000002</v>
      </c>
      <c r="J77" s="98">
        <v>6.4640000000000004</v>
      </c>
      <c r="K77" s="98">
        <v>186.989</v>
      </c>
      <c r="L77" s="98">
        <v>95.009</v>
      </c>
      <c r="M77" s="98">
        <v>13.048999999999999</v>
      </c>
      <c r="N77" s="98">
        <f>SUM(J77:M77)</f>
        <v>301.51099999999997</v>
      </c>
      <c r="O77" s="4">
        <f>I77+N77</f>
        <v>686.25299999999993</v>
      </c>
    </row>
    <row r="78" spans="1:15" x14ac:dyDescent="0.2">
      <c r="A78" s="153" t="s">
        <v>129</v>
      </c>
      <c r="B78" s="98">
        <f t="shared" ref="B78:O78" si="15">B75+B76+B77</f>
        <v>542.53200000000004</v>
      </c>
      <c r="C78" s="98">
        <f t="shared" si="15"/>
        <v>288.91300000000001</v>
      </c>
      <c r="D78" s="98">
        <f t="shared" si="15"/>
        <v>145.21800000000002</v>
      </c>
      <c r="E78" s="98">
        <f t="shared" si="15"/>
        <v>62.558999999999997</v>
      </c>
      <c r="F78" s="98">
        <f t="shared" si="15"/>
        <v>73.966999999999999</v>
      </c>
      <c r="G78" s="98">
        <f t="shared" si="15"/>
        <v>171.173</v>
      </c>
      <c r="H78" s="98">
        <f t="shared" si="15"/>
        <v>23.163</v>
      </c>
      <c r="I78" s="98">
        <f t="shared" si="15"/>
        <v>1307.5250000000001</v>
      </c>
      <c r="J78" s="98">
        <f t="shared" si="15"/>
        <v>21.512999999999998</v>
      </c>
      <c r="K78" s="98">
        <f t="shared" si="15"/>
        <v>632.77800000000002</v>
      </c>
      <c r="L78" s="98">
        <f t="shared" si="15"/>
        <v>361.31100000000004</v>
      </c>
      <c r="M78" s="98">
        <f t="shared" si="15"/>
        <v>58.228000000000002</v>
      </c>
      <c r="N78" s="98">
        <f t="shared" si="15"/>
        <v>1073.83</v>
      </c>
      <c r="O78" s="4">
        <f t="shared" si="15"/>
        <v>2381.355</v>
      </c>
    </row>
    <row r="79" spans="1:15" x14ac:dyDescent="0.2">
      <c r="A79" s="86"/>
      <c r="B79" s="98"/>
      <c r="C79" s="98"/>
      <c r="D79" s="98"/>
      <c r="E79" s="98"/>
      <c r="F79" s="98"/>
      <c r="G79" s="98"/>
      <c r="H79" s="98"/>
      <c r="I79" s="98"/>
      <c r="J79" s="98"/>
      <c r="K79" s="98"/>
      <c r="L79" s="98"/>
      <c r="M79" s="98"/>
      <c r="N79" s="98"/>
      <c r="O79" s="4"/>
    </row>
    <row r="80" spans="1:15" x14ac:dyDescent="0.2">
      <c r="A80" s="86">
        <v>2005</v>
      </c>
      <c r="B80" s="98"/>
      <c r="C80" s="98"/>
      <c r="D80" s="98"/>
      <c r="E80" s="98"/>
      <c r="F80" s="98"/>
      <c r="G80" s="98"/>
      <c r="H80" s="98"/>
      <c r="I80" s="98"/>
      <c r="J80" s="98"/>
      <c r="K80" s="98"/>
      <c r="L80" s="98"/>
      <c r="M80" s="98"/>
      <c r="N80" s="98"/>
      <c r="O80" s="4"/>
    </row>
    <row r="81" spans="1:15" ht="12.75" customHeight="1" x14ac:dyDescent="0.2">
      <c r="A81" s="76" t="s">
        <v>74</v>
      </c>
      <c r="B81" s="98">
        <v>177.523</v>
      </c>
      <c r="C81" s="98">
        <v>97.784999999999997</v>
      </c>
      <c r="D81" s="98">
        <v>43.515999999999998</v>
      </c>
      <c r="E81" s="98">
        <v>21.833000000000002</v>
      </c>
      <c r="F81" s="98">
        <v>22.765000000000001</v>
      </c>
      <c r="G81" s="98">
        <v>52.301000000000002</v>
      </c>
      <c r="H81" s="98">
        <v>6.806</v>
      </c>
      <c r="I81" s="98">
        <f>SUM(B81:H81)</f>
        <v>422.529</v>
      </c>
      <c r="J81" s="98">
        <v>5.1870000000000003</v>
      </c>
      <c r="K81" s="98">
        <v>178.65800000000002</v>
      </c>
      <c r="L81" s="98">
        <v>74.213000000000008</v>
      </c>
      <c r="M81" s="98">
        <v>12.908000000000001</v>
      </c>
      <c r="N81" s="98">
        <f>SUM(J81:M81)</f>
        <v>270.96600000000007</v>
      </c>
      <c r="O81" s="98">
        <f>I81+N81</f>
        <v>693.49500000000012</v>
      </c>
    </row>
    <row r="82" spans="1:15" ht="12.75" customHeight="1" x14ac:dyDescent="0.2">
      <c r="A82" s="76" t="s">
        <v>140</v>
      </c>
      <c r="B82" s="98">
        <v>173.553</v>
      </c>
      <c r="C82" s="98">
        <v>88.647999999999996</v>
      </c>
      <c r="D82" s="98">
        <v>42.736000000000004</v>
      </c>
      <c r="E82" s="98">
        <v>17.524999999999999</v>
      </c>
      <c r="F82" s="98">
        <v>20.216999999999999</v>
      </c>
      <c r="G82" s="98">
        <v>50.164000000000001</v>
      </c>
      <c r="H82" s="98">
        <v>6.7170000000000005</v>
      </c>
      <c r="I82" s="98">
        <f>SUM(B82:H82)</f>
        <v>399.55999999999995</v>
      </c>
      <c r="J82" s="98">
        <v>5.266</v>
      </c>
      <c r="K82" s="98">
        <v>185.32499999999999</v>
      </c>
      <c r="L82" s="98">
        <v>85.66</v>
      </c>
      <c r="M82" s="98">
        <v>14.748999999999999</v>
      </c>
      <c r="N82" s="98">
        <f>SUM(J82:M82)</f>
        <v>291</v>
      </c>
      <c r="O82" s="98">
        <f>I82+N82</f>
        <v>690.56</v>
      </c>
    </row>
    <row r="83" spans="1:15" ht="12.75" customHeight="1" x14ac:dyDescent="0.2">
      <c r="A83" s="76" t="s">
        <v>76</v>
      </c>
      <c r="B83" s="98">
        <v>186.96800000000002</v>
      </c>
      <c r="C83" s="98">
        <v>96.671000000000006</v>
      </c>
      <c r="D83" s="98">
        <v>52.506</v>
      </c>
      <c r="E83" s="98">
        <v>19.177</v>
      </c>
      <c r="F83" s="98">
        <v>23.302</v>
      </c>
      <c r="G83" s="98">
        <v>59.779000000000003</v>
      </c>
      <c r="H83" s="98">
        <v>7.4390000000000001</v>
      </c>
      <c r="I83" s="98">
        <f>SUM(B83:H83)</f>
        <v>445.84200000000004</v>
      </c>
      <c r="J83" s="98">
        <v>6.625</v>
      </c>
      <c r="K83" s="98">
        <v>222.60300000000001</v>
      </c>
      <c r="L83" s="98">
        <v>108.36800000000001</v>
      </c>
      <c r="M83" s="98">
        <v>22.077999999999999</v>
      </c>
      <c r="N83" s="98">
        <f>SUM(J83:M83)</f>
        <v>359.67399999999998</v>
      </c>
      <c r="O83" s="98">
        <f>I83+N83</f>
        <v>805.51600000000008</v>
      </c>
    </row>
    <row r="84" spans="1:15" x14ac:dyDescent="0.2">
      <c r="A84" s="86" t="s">
        <v>126</v>
      </c>
      <c r="B84" s="98">
        <f t="shared" ref="B84:O84" si="16">B81+B82+B83</f>
        <v>538.0440000000001</v>
      </c>
      <c r="C84" s="98">
        <f t="shared" si="16"/>
        <v>283.10399999999998</v>
      </c>
      <c r="D84" s="98">
        <f t="shared" si="16"/>
        <v>138.75800000000001</v>
      </c>
      <c r="E84" s="98">
        <f t="shared" si="16"/>
        <v>58.535000000000004</v>
      </c>
      <c r="F84" s="98">
        <f t="shared" si="16"/>
        <v>66.283999999999992</v>
      </c>
      <c r="G84" s="98">
        <f t="shared" si="16"/>
        <v>162.244</v>
      </c>
      <c r="H84" s="98">
        <f t="shared" si="16"/>
        <v>20.962</v>
      </c>
      <c r="I84" s="98">
        <f t="shared" si="16"/>
        <v>1267.931</v>
      </c>
      <c r="J84" s="98">
        <f t="shared" si="16"/>
        <v>17.077999999999999</v>
      </c>
      <c r="K84" s="98">
        <f t="shared" si="16"/>
        <v>586.58600000000001</v>
      </c>
      <c r="L84" s="98">
        <f t="shared" si="16"/>
        <v>268.24099999999999</v>
      </c>
      <c r="M84" s="98">
        <f t="shared" si="16"/>
        <v>49.734999999999999</v>
      </c>
      <c r="N84" s="98">
        <f t="shared" si="16"/>
        <v>921.6400000000001</v>
      </c>
      <c r="O84" s="98">
        <f t="shared" si="16"/>
        <v>2189.5709999999999</v>
      </c>
    </row>
    <row r="85" spans="1:15" ht="12.75" customHeight="1" x14ac:dyDescent="0.2">
      <c r="A85" s="76" t="s">
        <v>78</v>
      </c>
      <c r="B85" s="98">
        <v>187.80700000000002</v>
      </c>
      <c r="C85" s="98">
        <v>103.16200000000001</v>
      </c>
      <c r="D85" s="98">
        <v>50.591999999999999</v>
      </c>
      <c r="E85" s="98">
        <v>19.567</v>
      </c>
      <c r="F85" s="98">
        <v>23.321999999999999</v>
      </c>
      <c r="G85" s="98">
        <v>57.404000000000003</v>
      </c>
      <c r="H85" s="98">
        <v>12.873000000000001</v>
      </c>
      <c r="I85" s="98">
        <f>SUM(B85:H85)</f>
        <v>454.72700000000003</v>
      </c>
      <c r="J85" s="98">
        <v>17.239000000000001</v>
      </c>
      <c r="K85" s="98">
        <v>168.68299999999999</v>
      </c>
      <c r="L85" s="98">
        <v>86.052999999999997</v>
      </c>
      <c r="M85" s="98">
        <v>19.453000000000003</v>
      </c>
      <c r="N85" s="98">
        <f>SUM(J85:M85)</f>
        <v>291.428</v>
      </c>
      <c r="O85" s="98">
        <f>I85+N85</f>
        <v>746.15499999999997</v>
      </c>
    </row>
    <row r="86" spans="1:15" ht="12.75" customHeight="1" x14ac:dyDescent="0.2">
      <c r="A86" s="153" t="s">
        <v>79</v>
      </c>
      <c r="B86" s="98">
        <v>188.95500000000001</v>
      </c>
      <c r="C86" s="98">
        <v>96.277000000000001</v>
      </c>
      <c r="D86" s="98">
        <v>50.157000000000004</v>
      </c>
      <c r="E86" s="98">
        <v>18.173000000000002</v>
      </c>
      <c r="F86" s="98">
        <v>28.911999999999999</v>
      </c>
      <c r="G86" s="98">
        <v>53.329000000000001</v>
      </c>
      <c r="H86" s="98">
        <v>6.524</v>
      </c>
      <c r="I86" s="98">
        <f>SUM(B86:H86)</f>
        <v>442.327</v>
      </c>
      <c r="J86" s="98">
        <v>6.109</v>
      </c>
      <c r="K86" s="98">
        <v>187.631</v>
      </c>
      <c r="L86" s="98">
        <v>103.212</v>
      </c>
      <c r="M86" s="98">
        <v>22.661999999999999</v>
      </c>
      <c r="N86" s="98">
        <f>SUM(J86:M86)</f>
        <v>319.61399999999998</v>
      </c>
      <c r="O86" s="98">
        <f>I86+N86</f>
        <v>761.94100000000003</v>
      </c>
    </row>
    <row r="87" spans="1:15" ht="12.75" customHeight="1" x14ac:dyDescent="0.2">
      <c r="A87" s="153" t="s">
        <v>89</v>
      </c>
      <c r="B87" s="98">
        <v>195.70099999999999</v>
      </c>
      <c r="C87" s="98">
        <v>94.576999999999998</v>
      </c>
      <c r="D87" s="98">
        <v>57.569000000000003</v>
      </c>
      <c r="E87" s="98">
        <v>20.466000000000001</v>
      </c>
      <c r="F87" s="98">
        <v>35.784999999999997</v>
      </c>
      <c r="G87" s="98">
        <v>49.767000000000003</v>
      </c>
      <c r="H87" s="98">
        <v>6.5410000000000004</v>
      </c>
      <c r="I87" s="98">
        <f>SUM(B87:H87)</f>
        <v>460.40600000000006</v>
      </c>
      <c r="J87" s="98">
        <v>6.2450000000000001</v>
      </c>
      <c r="K87" s="98">
        <v>214.02700000000002</v>
      </c>
      <c r="L87" s="98">
        <v>109.754</v>
      </c>
      <c r="M87" s="98">
        <v>25.938000000000002</v>
      </c>
      <c r="N87" s="98">
        <f>SUM(J87:M87)</f>
        <v>355.964</v>
      </c>
      <c r="O87" s="98">
        <f>I87+N87</f>
        <v>816.37000000000012</v>
      </c>
    </row>
    <row r="88" spans="1:15" x14ac:dyDescent="0.2">
      <c r="A88" s="153" t="s">
        <v>127</v>
      </c>
      <c r="B88" s="98">
        <f t="shared" ref="B88:O88" si="17">B85+B86+B87</f>
        <v>572.46300000000008</v>
      </c>
      <c r="C88" s="98">
        <f t="shared" si="17"/>
        <v>294.01600000000002</v>
      </c>
      <c r="D88" s="98">
        <f t="shared" si="17"/>
        <v>158.31799999999998</v>
      </c>
      <c r="E88" s="98">
        <f t="shared" si="17"/>
        <v>58.206000000000003</v>
      </c>
      <c r="F88" s="98">
        <f t="shared" si="17"/>
        <v>88.018999999999991</v>
      </c>
      <c r="G88" s="98">
        <f t="shared" si="17"/>
        <v>160.5</v>
      </c>
      <c r="H88" s="98">
        <f t="shared" si="17"/>
        <v>25.938000000000002</v>
      </c>
      <c r="I88" s="98">
        <f t="shared" si="17"/>
        <v>1357.46</v>
      </c>
      <c r="J88" s="98">
        <f t="shared" si="17"/>
        <v>29.593</v>
      </c>
      <c r="K88" s="98">
        <f t="shared" si="17"/>
        <v>570.34100000000001</v>
      </c>
      <c r="L88" s="98">
        <f t="shared" si="17"/>
        <v>299.01900000000001</v>
      </c>
      <c r="M88" s="98">
        <f t="shared" si="17"/>
        <v>68.052999999999997</v>
      </c>
      <c r="N88" s="98">
        <f t="shared" si="17"/>
        <v>967.00599999999986</v>
      </c>
      <c r="O88" s="98">
        <f t="shared" si="17"/>
        <v>2324.4660000000003</v>
      </c>
    </row>
    <row r="89" spans="1:15" ht="12.75" customHeight="1" x14ac:dyDescent="0.2">
      <c r="A89" s="153" t="s">
        <v>90</v>
      </c>
      <c r="B89" s="98">
        <v>185.423</v>
      </c>
      <c r="C89" s="98">
        <v>89.37</v>
      </c>
      <c r="D89" s="98">
        <v>52.271000000000001</v>
      </c>
      <c r="E89" s="98">
        <v>20.001999999999999</v>
      </c>
      <c r="F89" s="98">
        <v>28.269000000000002</v>
      </c>
      <c r="G89" s="98">
        <v>45.625</v>
      </c>
      <c r="H89" s="98">
        <v>7.0620000000000003</v>
      </c>
      <c r="I89" s="98">
        <f>SUM(B89:H89)</f>
        <v>428.02200000000005</v>
      </c>
      <c r="J89" s="98">
        <v>6.2380000000000004</v>
      </c>
      <c r="K89" s="98">
        <v>195.72800000000001</v>
      </c>
      <c r="L89" s="98">
        <v>102.259</v>
      </c>
      <c r="M89" s="98">
        <v>28.063000000000002</v>
      </c>
      <c r="N89" s="98">
        <f>SUM(J89:M89)</f>
        <v>332.28800000000001</v>
      </c>
      <c r="O89" s="98">
        <f>I89+N89</f>
        <v>760.31000000000006</v>
      </c>
    </row>
    <row r="90" spans="1:15" ht="12.75" customHeight="1" x14ac:dyDescent="0.2">
      <c r="A90" s="153" t="s">
        <v>81</v>
      </c>
      <c r="B90" s="98">
        <v>204.62800000000001</v>
      </c>
      <c r="C90" s="98">
        <v>101.12</v>
      </c>
      <c r="D90" s="98">
        <v>55.292000000000002</v>
      </c>
      <c r="E90" s="98">
        <v>20.981999999999999</v>
      </c>
      <c r="F90" s="98">
        <v>35.426000000000002</v>
      </c>
      <c r="G90" s="98">
        <v>50.481000000000002</v>
      </c>
      <c r="H90" s="98">
        <v>7.617</v>
      </c>
      <c r="I90" s="98">
        <f>SUM(B90:H90)</f>
        <v>475.54600000000005</v>
      </c>
      <c r="J90" s="98">
        <v>23.706</v>
      </c>
      <c r="K90" s="98">
        <v>204.191</v>
      </c>
      <c r="L90" s="98">
        <v>112.032</v>
      </c>
      <c r="M90" s="98">
        <v>27.532</v>
      </c>
      <c r="N90" s="98">
        <f>SUM(J90:M90)</f>
        <v>367.46099999999996</v>
      </c>
      <c r="O90" s="98">
        <f>I90+N90</f>
        <v>843.00700000000006</v>
      </c>
    </row>
    <row r="91" spans="1:15" ht="12.75" customHeight="1" x14ac:dyDescent="0.2">
      <c r="A91" s="153" t="s">
        <v>82</v>
      </c>
      <c r="B91" s="98">
        <v>214.459</v>
      </c>
      <c r="C91" s="98">
        <v>91.953000000000003</v>
      </c>
      <c r="D91" s="98">
        <v>44.686999999999998</v>
      </c>
      <c r="E91" s="98">
        <v>19.309999999999999</v>
      </c>
      <c r="F91" s="98">
        <v>33.416000000000004</v>
      </c>
      <c r="G91" s="98">
        <v>45.978000000000002</v>
      </c>
      <c r="H91" s="98">
        <v>8.7829999999999995</v>
      </c>
      <c r="I91" s="98">
        <f>SUM(B91:H91)</f>
        <v>458.58600000000007</v>
      </c>
      <c r="J91" s="98">
        <v>7.5979999999999999</v>
      </c>
      <c r="K91" s="98">
        <v>245.239</v>
      </c>
      <c r="L91" s="98">
        <v>114.866</v>
      </c>
      <c r="M91" s="98">
        <v>31.69</v>
      </c>
      <c r="N91" s="98">
        <f>SUM(J91:M91)</f>
        <v>399.39300000000003</v>
      </c>
      <c r="O91" s="98">
        <f>I91+N91</f>
        <v>857.97900000000004</v>
      </c>
    </row>
    <row r="92" spans="1:15" x14ac:dyDescent="0.2">
      <c r="A92" s="153" t="s">
        <v>128</v>
      </c>
      <c r="B92" s="98">
        <f t="shared" ref="B92:O92" si="18">B89+B90+B91</f>
        <v>604.51</v>
      </c>
      <c r="C92" s="98">
        <f t="shared" si="18"/>
        <v>282.44299999999998</v>
      </c>
      <c r="D92" s="98">
        <f t="shared" si="18"/>
        <v>152.25</v>
      </c>
      <c r="E92" s="98">
        <f t="shared" si="18"/>
        <v>60.293999999999997</v>
      </c>
      <c r="F92" s="98">
        <f t="shared" si="18"/>
        <v>97.111000000000018</v>
      </c>
      <c r="G92" s="98">
        <f t="shared" si="18"/>
        <v>142.084</v>
      </c>
      <c r="H92" s="98">
        <f t="shared" si="18"/>
        <v>23.462</v>
      </c>
      <c r="I92" s="98">
        <f t="shared" si="18"/>
        <v>1362.1540000000002</v>
      </c>
      <c r="J92" s="98">
        <f t="shared" si="18"/>
        <v>37.542000000000002</v>
      </c>
      <c r="K92" s="98">
        <f t="shared" si="18"/>
        <v>645.15800000000002</v>
      </c>
      <c r="L92" s="98">
        <f t="shared" si="18"/>
        <v>329.15699999999998</v>
      </c>
      <c r="M92" s="98">
        <f t="shared" si="18"/>
        <v>87.284999999999997</v>
      </c>
      <c r="N92" s="98">
        <f t="shared" si="18"/>
        <v>1099.1420000000001</v>
      </c>
      <c r="O92" s="98">
        <f t="shared" si="18"/>
        <v>2461.2960000000003</v>
      </c>
    </row>
    <row r="93" spans="1:15" ht="12.75" customHeight="1" x14ac:dyDescent="0.2">
      <c r="A93" s="153" t="s">
        <v>135</v>
      </c>
      <c r="B93" s="98">
        <v>225.45</v>
      </c>
      <c r="C93" s="98">
        <v>105.116</v>
      </c>
      <c r="D93" s="98">
        <v>50.233000000000004</v>
      </c>
      <c r="E93" s="98">
        <v>21.375</v>
      </c>
      <c r="F93" s="98">
        <v>33.588999999999999</v>
      </c>
      <c r="G93" s="98">
        <v>48.783000000000001</v>
      </c>
      <c r="H93" s="98">
        <v>6.9240000000000004</v>
      </c>
      <c r="I93" s="98">
        <f>SUM(B93:H93)</f>
        <v>491.46999999999997</v>
      </c>
      <c r="J93" s="98">
        <v>9.6739999999999995</v>
      </c>
      <c r="K93" s="98">
        <v>224.066</v>
      </c>
      <c r="L93" s="98">
        <v>129.59200000000001</v>
      </c>
      <c r="M93" s="98">
        <v>22.664000000000001</v>
      </c>
      <c r="N93" s="98">
        <f>SUM(J93:M93)</f>
        <v>385.99599999999998</v>
      </c>
      <c r="O93" s="98">
        <f>I93+N93</f>
        <v>877.46599999999989</v>
      </c>
    </row>
    <row r="94" spans="1:15" ht="12.75" customHeight="1" x14ac:dyDescent="0.2">
      <c r="A94" s="153" t="s">
        <v>148</v>
      </c>
      <c r="B94" s="98">
        <v>194.49299999999999</v>
      </c>
      <c r="C94" s="98">
        <v>92.963000000000008</v>
      </c>
      <c r="D94" s="98">
        <v>44.203000000000003</v>
      </c>
      <c r="E94" s="98">
        <v>20.408000000000001</v>
      </c>
      <c r="F94" s="98">
        <v>26.426000000000002</v>
      </c>
      <c r="G94" s="98">
        <v>46.826000000000001</v>
      </c>
      <c r="H94" s="98">
        <v>7.1920000000000002</v>
      </c>
      <c r="I94" s="98">
        <f>SUM(B94:H94)</f>
        <v>432.51100000000002</v>
      </c>
      <c r="J94" s="98">
        <v>6.8</v>
      </c>
      <c r="K94" s="98">
        <v>201.26900000000001</v>
      </c>
      <c r="L94" s="98">
        <v>119.12</v>
      </c>
      <c r="M94" s="98">
        <v>4.8529999999999998</v>
      </c>
      <c r="N94" s="98">
        <f>SUM(J94:M94)</f>
        <v>332.04200000000003</v>
      </c>
      <c r="O94" s="98">
        <f>I94+N94</f>
        <v>764.55300000000011</v>
      </c>
    </row>
    <row r="95" spans="1:15" ht="12.75" customHeight="1" x14ac:dyDescent="0.2">
      <c r="A95" s="153" t="s">
        <v>87</v>
      </c>
      <c r="B95" s="98">
        <v>162.38800000000001</v>
      </c>
      <c r="C95" s="98">
        <v>73.085999999999999</v>
      </c>
      <c r="D95" s="98">
        <v>43.048999999999999</v>
      </c>
      <c r="E95" s="98">
        <v>18.13</v>
      </c>
      <c r="F95" s="98">
        <v>24.462</v>
      </c>
      <c r="G95" s="98">
        <v>45.807000000000002</v>
      </c>
      <c r="H95" s="98">
        <v>7.55</v>
      </c>
      <c r="I95" s="98">
        <f>SUM(B95:H95)</f>
        <v>374.47199999999998</v>
      </c>
      <c r="J95" s="98">
        <v>14.035</v>
      </c>
      <c r="K95" s="98">
        <v>173.97900000000001</v>
      </c>
      <c r="L95" s="98">
        <v>117.184</v>
      </c>
      <c r="M95" s="98">
        <v>14.974</v>
      </c>
      <c r="N95" s="98">
        <f>SUM(J95:M95)</f>
        <v>320.17199999999997</v>
      </c>
      <c r="O95" s="98">
        <f>I95+N95</f>
        <v>694.64400000000001</v>
      </c>
    </row>
    <row r="96" spans="1:15" x14ac:dyDescent="0.2">
      <c r="A96" s="153" t="s">
        <v>129</v>
      </c>
      <c r="B96" s="98">
        <f t="shared" ref="B96:O96" si="19">B93+B94+B95</f>
        <v>582.33100000000002</v>
      </c>
      <c r="C96" s="98">
        <f t="shared" si="19"/>
        <v>271.16500000000002</v>
      </c>
      <c r="D96" s="98">
        <f t="shared" si="19"/>
        <v>137.48500000000001</v>
      </c>
      <c r="E96" s="98">
        <f t="shared" si="19"/>
        <v>59.912999999999997</v>
      </c>
      <c r="F96" s="98">
        <f t="shared" si="19"/>
        <v>84.477000000000004</v>
      </c>
      <c r="G96" s="98">
        <f t="shared" si="19"/>
        <v>141.416</v>
      </c>
      <c r="H96" s="98">
        <f t="shared" si="19"/>
        <v>21.666</v>
      </c>
      <c r="I96" s="98">
        <f t="shared" si="19"/>
        <v>1298.453</v>
      </c>
      <c r="J96" s="98">
        <f t="shared" si="19"/>
        <v>30.509</v>
      </c>
      <c r="K96" s="98">
        <f t="shared" si="19"/>
        <v>599.31400000000008</v>
      </c>
      <c r="L96" s="98">
        <f t="shared" si="19"/>
        <v>365.89600000000002</v>
      </c>
      <c r="M96" s="98">
        <f t="shared" si="19"/>
        <v>42.491</v>
      </c>
      <c r="N96" s="98">
        <f t="shared" si="19"/>
        <v>1038.21</v>
      </c>
      <c r="O96" s="98">
        <f t="shared" si="19"/>
        <v>2336.663</v>
      </c>
    </row>
    <row r="97" spans="1:15" x14ac:dyDescent="0.2">
      <c r="A97" s="86"/>
      <c r="B97" s="98"/>
      <c r="C97" s="98"/>
      <c r="D97" s="98"/>
      <c r="E97" s="98"/>
      <c r="F97" s="98"/>
      <c r="G97" s="98"/>
      <c r="H97" s="98"/>
      <c r="I97" s="98"/>
      <c r="J97" s="98"/>
      <c r="K97" s="98"/>
      <c r="L97" s="98"/>
      <c r="M97" s="98"/>
      <c r="N97" s="98"/>
      <c r="O97" s="98"/>
    </row>
    <row r="98" spans="1:15" x14ac:dyDescent="0.2">
      <c r="A98" s="86">
        <v>2006</v>
      </c>
      <c r="B98" s="98"/>
      <c r="C98" s="98"/>
      <c r="D98" s="98"/>
      <c r="E98" s="98"/>
      <c r="F98" s="98"/>
      <c r="G98" s="98"/>
      <c r="H98" s="98"/>
      <c r="I98" s="98"/>
      <c r="J98" s="98"/>
      <c r="K98" s="98"/>
      <c r="L98" s="98"/>
      <c r="M98" s="98"/>
      <c r="N98" s="98"/>
      <c r="O98" s="98"/>
    </row>
    <row r="99" spans="1:15" ht="12.75" customHeight="1" x14ac:dyDescent="0.2">
      <c r="A99" s="76" t="s">
        <v>74</v>
      </c>
      <c r="B99" s="98">
        <v>186.167</v>
      </c>
      <c r="C99" s="98">
        <v>94.759</v>
      </c>
      <c r="D99" s="98">
        <v>42.866</v>
      </c>
      <c r="E99" s="98">
        <v>20.07</v>
      </c>
      <c r="F99" s="98">
        <v>22.888000000000002</v>
      </c>
      <c r="G99" s="98">
        <v>44.204000000000001</v>
      </c>
      <c r="H99" s="98">
        <v>6.5520000000000005</v>
      </c>
      <c r="I99" s="98">
        <f>SUM(B99:H99)</f>
        <v>417.50599999999997</v>
      </c>
      <c r="J99" s="98">
        <v>8.9819999999999993</v>
      </c>
      <c r="K99" s="98">
        <v>166.809</v>
      </c>
      <c r="L99" s="98">
        <v>92.728999999999999</v>
      </c>
      <c r="M99" s="98">
        <v>17.907</v>
      </c>
      <c r="N99" s="98">
        <f>SUM(J99:M99)</f>
        <v>286.42699999999996</v>
      </c>
      <c r="O99" s="98">
        <f>I99+N99</f>
        <v>703.93299999999999</v>
      </c>
    </row>
    <row r="100" spans="1:15" ht="12.75" customHeight="1" x14ac:dyDescent="0.2">
      <c r="A100" s="76" t="s">
        <v>140</v>
      </c>
      <c r="B100" s="98">
        <v>173.11199999999999</v>
      </c>
      <c r="C100" s="98">
        <v>80.186999999999998</v>
      </c>
      <c r="D100" s="98">
        <v>40.547000000000004</v>
      </c>
      <c r="E100" s="98">
        <v>16.288</v>
      </c>
      <c r="F100" s="98">
        <v>20.381</v>
      </c>
      <c r="G100" s="98">
        <v>43.297000000000004</v>
      </c>
      <c r="H100" s="98">
        <v>6.5140000000000002</v>
      </c>
      <c r="I100" s="98">
        <f>SUM(B100:H100)</f>
        <v>380.32600000000002</v>
      </c>
      <c r="J100" s="98">
        <v>6.8180000000000005</v>
      </c>
      <c r="K100" s="98">
        <v>170.35900000000001</v>
      </c>
      <c r="L100" s="98">
        <v>82.373999999999995</v>
      </c>
      <c r="M100" s="98">
        <v>13.234999999999999</v>
      </c>
      <c r="N100" s="98">
        <f>SUM(J100:M100)</f>
        <v>272.78600000000006</v>
      </c>
      <c r="O100" s="98">
        <f>I100+N100</f>
        <v>653.11200000000008</v>
      </c>
    </row>
    <row r="101" spans="1:15" ht="12.75" customHeight="1" x14ac:dyDescent="0.2">
      <c r="A101" s="76" t="s">
        <v>76</v>
      </c>
      <c r="B101" s="98">
        <v>193.89500000000001</v>
      </c>
      <c r="C101" s="98">
        <v>89.260999999999996</v>
      </c>
      <c r="D101" s="98">
        <v>49.377000000000002</v>
      </c>
      <c r="E101" s="98">
        <v>20.282</v>
      </c>
      <c r="F101" s="98">
        <v>27.208000000000002</v>
      </c>
      <c r="G101" s="98">
        <v>43.411000000000001</v>
      </c>
      <c r="H101" s="98">
        <v>8.1310000000000002</v>
      </c>
      <c r="I101" s="98">
        <f>SUM(B101:H101)</f>
        <v>431.56500000000005</v>
      </c>
      <c r="J101" s="98">
        <v>7.02</v>
      </c>
      <c r="K101" s="98">
        <v>194.20500000000001</v>
      </c>
      <c r="L101" s="98">
        <v>102.542</v>
      </c>
      <c r="M101" s="98">
        <v>18.009</v>
      </c>
      <c r="N101" s="98">
        <f>SUM(J101:M101)</f>
        <v>321.77600000000007</v>
      </c>
      <c r="O101" s="98">
        <f>I101+N101</f>
        <v>753.34100000000012</v>
      </c>
    </row>
    <row r="102" spans="1:15" x14ac:dyDescent="0.2">
      <c r="A102" s="86" t="s">
        <v>126</v>
      </c>
      <c r="B102" s="98">
        <f t="shared" ref="B102:O102" si="20">B99+B100+B101</f>
        <v>553.17399999999998</v>
      </c>
      <c r="C102" s="98">
        <f t="shared" si="20"/>
        <v>264.20699999999999</v>
      </c>
      <c r="D102" s="98">
        <f t="shared" si="20"/>
        <v>132.79000000000002</v>
      </c>
      <c r="E102" s="98">
        <f t="shared" si="20"/>
        <v>56.64</v>
      </c>
      <c r="F102" s="98">
        <f t="shared" si="20"/>
        <v>70.477000000000004</v>
      </c>
      <c r="G102" s="98">
        <f t="shared" si="20"/>
        <v>130.91200000000001</v>
      </c>
      <c r="H102" s="98">
        <f t="shared" si="20"/>
        <v>21.197000000000003</v>
      </c>
      <c r="I102" s="98">
        <f t="shared" si="20"/>
        <v>1229.3969999999999</v>
      </c>
      <c r="J102" s="98">
        <f t="shared" si="20"/>
        <v>22.82</v>
      </c>
      <c r="K102" s="98">
        <f t="shared" si="20"/>
        <v>531.37300000000005</v>
      </c>
      <c r="L102" s="98">
        <f t="shared" si="20"/>
        <v>277.64499999999998</v>
      </c>
      <c r="M102" s="98">
        <f t="shared" si="20"/>
        <v>49.150999999999996</v>
      </c>
      <c r="N102" s="98">
        <f t="shared" si="20"/>
        <v>880.98900000000003</v>
      </c>
      <c r="O102" s="98">
        <f t="shared" si="20"/>
        <v>2110.3860000000004</v>
      </c>
    </row>
    <row r="103" spans="1:15" ht="12.75" customHeight="1" x14ac:dyDescent="0.2">
      <c r="A103" s="76" t="s">
        <v>78</v>
      </c>
      <c r="B103" s="98">
        <v>175.77600000000001</v>
      </c>
      <c r="C103" s="98">
        <v>80.757999999999996</v>
      </c>
      <c r="D103" s="98">
        <v>45.544000000000004</v>
      </c>
      <c r="E103" s="98">
        <v>17.457000000000001</v>
      </c>
      <c r="F103" s="98">
        <v>26.682000000000002</v>
      </c>
      <c r="G103" s="98">
        <v>39.271999999999998</v>
      </c>
      <c r="H103" s="98">
        <v>7.1840000000000002</v>
      </c>
      <c r="I103" s="98">
        <f>SUM(B103:H103)</f>
        <v>392.673</v>
      </c>
      <c r="J103" s="98">
        <v>8.4540000000000006</v>
      </c>
      <c r="K103" s="98">
        <v>181.50900000000001</v>
      </c>
      <c r="L103" s="98">
        <v>92.031999999999996</v>
      </c>
      <c r="M103" s="98">
        <v>15.481999999999999</v>
      </c>
      <c r="N103" s="98">
        <f>SUM(J103:M103)</f>
        <v>297.47699999999998</v>
      </c>
      <c r="O103" s="98">
        <f>I103+N103</f>
        <v>690.15</v>
      </c>
    </row>
    <row r="104" spans="1:15" ht="12.75" customHeight="1" x14ac:dyDescent="0.2">
      <c r="A104" s="153" t="s">
        <v>79</v>
      </c>
      <c r="B104" s="98">
        <v>187.048</v>
      </c>
      <c r="C104" s="98">
        <v>92.057000000000002</v>
      </c>
      <c r="D104" s="98">
        <v>50.295999999999999</v>
      </c>
      <c r="E104" s="98">
        <v>19.998999999999999</v>
      </c>
      <c r="F104" s="98">
        <v>29.093</v>
      </c>
      <c r="G104" s="98">
        <v>40.677</v>
      </c>
      <c r="H104" s="98">
        <v>8.1389999999999993</v>
      </c>
      <c r="I104" s="98">
        <f>SUM(B104:H104)</f>
        <v>427.30900000000008</v>
      </c>
      <c r="J104" s="98">
        <v>12.813000000000001</v>
      </c>
      <c r="K104" s="98">
        <v>198.78</v>
      </c>
      <c r="L104" s="98">
        <v>95.39</v>
      </c>
      <c r="M104" s="98">
        <v>15.532999999999999</v>
      </c>
      <c r="N104" s="98">
        <f>SUM(J104:M104)</f>
        <v>322.51600000000002</v>
      </c>
      <c r="O104" s="98">
        <f>I104+N104</f>
        <v>749.82500000000005</v>
      </c>
    </row>
    <row r="105" spans="1:15" ht="12.75" customHeight="1" x14ac:dyDescent="0.2">
      <c r="A105" s="153" t="s">
        <v>89</v>
      </c>
      <c r="B105" s="98">
        <v>182.95600000000002</v>
      </c>
      <c r="C105" s="98">
        <v>97.992000000000004</v>
      </c>
      <c r="D105" s="98">
        <v>50.401000000000003</v>
      </c>
      <c r="E105" s="98">
        <v>20.448</v>
      </c>
      <c r="F105" s="98">
        <v>34.335000000000001</v>
      </c>
      <c r="G105" s="98">
        <v>48.413000000000004</v>
      </c>
      <c r="H105" s="98">
        <v>7.1130000000000004</v>
      </c>
      <c r="I105" s="98">
        <f>SUM(B105:H105)</f>
        <v>441.65800000000002</v>
      </c>
      <c r="J105" s="98">
        <v>6.0739999999999998</v>
      </c>
      <c r="K105" s="98">
        <v>224.172</v>
      </c>
      <c r="L105" s="98">
        <v>109.96300000000001</v>
      </c>
      <c r="M105" s="98">
        <v>16.254999999999999</v>
      </c>
      <c r="N105" s="98">
        <f>SUM(J105:M105)</f>
        <v>356.464</v>
      </c>
      <c r="O105" s="98">
        <f>I105+N105</f>
        <v>798.12200000000007</v>
      </c>
    </row>
    <row r="106" spans="1:15" x14ac:dyDescent="0.2">
      <c r="A106" s="153" t="s">
        <v>127</v>
      </c>
      <c r="B106" s="98">
        <f t="shared" ref="B106:O106" si="21">B103+B104+B105</f>
        <v>545.78</v>
      </c>
      <c r="C106" s="98">
        <f t="shared" si="21"/>
        <v>270.80700000000002</v>
      </c>
      <c r="D106" s="98">
        <f t="shared" si="21"/>
        <v>146.24100000000001</v>
      </c>
      <c r="E106" s="98">
        <f t="shared" si="21"/>
        <v>57.904000000000003</v>
      </c>
      <c r="F106" s="98">
        <f t="shared" si="21"/>
        <v>90.110000000000014</v>
      </c>
      <c r="G106" s="98">
        <f t="shared" si="21"/>
        <v>128.36199999999999</v>
      </c>
      <c r="H106" s="98">
        <f t="shared" si="21"/>
        <v>22.436</v>
      </c>
      <c r="I106" s="98">
        <f t="shared" si="21"/>
        <v>1261.6400000000001</v>
      </c>
      <c r="J106" s="98">
        <f t="shared" si="21"/>
        <v>27.341000000000001</v>
      </c>
      <c r="K106" s="98">
        <f t="shared" si="21"/>
        <v>604.46100000000001</v>
      </c>
      <c r="L106" s="98">
        <f t="shared" si="21"/>
        <v>297.38499999999999</v>
      </c>
      <c r="M106" s="98">
        <f t="shared" si="21"/>
        <v>47.269999999999996</v>
      </c>
      <c r="N106" s="98">
        <f t="shared" si="21"/>
        <v>976.45699999999988</v>
      </c>
      <c r="O106" s="98">
        <f t="shared" si="21"/>
        <v>2238.0969999999998</v>
      </c>
    </row>
    <row r="107" spans="1:15" ht="12.75" customHeight="1" x14ac:dyDescent="0.2">
      <c r="A107" s="153" t="s">
        <v>90</v>
      </c>
      <c r="B107" s="98">
        <v>180.4</v>
      </c>
      <c r="C107" s="98">
        <v>90.097999999999999</v>
      </c>
      <c r="D107" s="98">
        <v>47.847000000000001</v>
      </c>
      <c r="E107" s="98">
        <v>18.305</v>
      </c>
      <c r="F107" s="98">
        <v>30.702999999999999</v>
      </c>
      <c r="G107" s="98">
        <v>44.31</v>
      </c>
      <c r="H107" s="98">
        <v>6.4960000000000004</v>
      </c>
      <c r="I107" s="98">
        <f>SUM(B107:H107)</f>
        <v>418.15899999999993</v>
      </c>
      <c r="J107" s="98">
        <v>6.6840000000000002</v>
      </c>
      <c r="K107" s="98">
        <v>194.38900000000001</v>
      </c>
      <c r="L107" s="98">
        <v>101.349</v>
      </c>
      <c r="M107" s="98">
        <f>1.852+15.726</f>
        <v>17.577999999999999</v>
      </c>
      <c r="N107" s="98">
        <f>SUM(J107:M107)</f>
        <v>320</v>
      </c>
      <c r="O107" s="98">
        <f>I107+N107</f>
        <v>738.15899999999988</v>
      </c>
    </row>
    <row r="108" spans="1:15" ht="12.75" customHeight="1" x14ac:dyDescent="0.2">
      <c r="A108" s="153" t="s">
        <v>81</v>
      </c>
      <c r="B108" s="98">
        <v>190.99100000000001</v>
      </c>
      <c r="C108" s="98">
        <v>94.454999999999998</v>
      </c>
      <c r="D108" s="98">
        <v>50.692</v>
      </c>
      <c r="E108" s="98">
        <v>20.838000000000001</v>
      </c>
      <c r="F108" s="98">
        <v>34.893999999999998</v>
      </c>
      <c r="G108" s="98">
        <v>47.612000000000002</v>
      </c>
      <c r="H108" s="98">
        <v>24.657</v>
      </c>
      <c r="I108" s="98">
        <f>SUM(B108:H108)</f>
        <v>464.13900000000007</v>
      </c>
      <c r="J108" s="98">
        <v>4.8490000000000002</v>
      </c>
      <c r="K108" s="98">
        <v>259.19600000000003</v>
      </c>
      <c r="L108" s="98">
        <v>102.339</v>
      </c>
      <c r="M108" s="98">
        <f>1.378+17.949</f>
        <v>19.327000000000002</v>
      </c>
      <c r="N108" s="98">
        <f>SUM(J108:M108)</f>
        <v>385.71100000000001</v>
      </c>
      <c r="O108" s="98">
        <f>I108+N108</f>
        <v>849.85000000000014</v>
      </c>
    </row>
    <row r="109" spans="1:15" ht="12.75" customHeight="1" x14ac:dyDescent="0.2">
      <c r="A109" s="153" t="s">
        <v>82</v>
      </c>
      <c r="B109" s="98">
        <v>202.99199999999999</v>
      </c>
      <c r="C109" s="98">
        <v>91.873999999999995</v>
      </c>
      <c r="D109" s="98">
        <v>43.015000000000001</v>
      </c>
      <c r="E109" s="98">
        <v>17.696999999999999</v>
      </c>
      <c r="F109" s="98">
        <v>33.218000000000004</v>
      </c>
      <c r="G109" s="98">
        <v>48.262999999999998</v>
      </c>
      <c r="H109" s="98">
        <v>8.2810000000000006</v>
      </c>
      <c r="I109" s="98">
        <f>SUM(B109:H109)</f>
        <v>445.34</v>
      </c>
      <c r="J109" s="98">
        <v>5.8109999999999999</v>
      </c>
      <c r="K109" s="98">
        <v>205.47900000000001</v>
      </c>
      <c r="L109" s="98">
        <v>99.468000000000004</v>
      </c>
      <c r="M109" s="98">
        <f>7.898+3.992</f>
        <v>11.89</v>
      </c>
      <c r="N109" s="98">
        <f>SUM(J109:M109)</f>
        <v>322.64800000000002</v>
      </c>
      <c r="O109" s="98">
        <f>I109+N109</f>
        <v>767.98800000000006</v>
      </c>
    </row>
    <row r="110" spans="1:15" x14ac:dyDescent="0.2">
      <c r="A110" s="153" t="s">
        <v>128</v>
      </c>
      <c r="B110" s="98">
        <f t="shared" ref="B110:O110" si="22">B107+B108+B109</f>
        <v>574.38300000000004</v>
      </c>
      <c r="C110" s="98">
        <f t="shared" si="22"/>
        <v>276.42700000000002</v>
      </c>
      <c r="D110" s="98">
        <f t="shared" si="22"/>
        <v>141.554</v>
      </c>
      <c r="E110" s="98">
        <f t="shared" si="22"/>
        <v>56.84</v>
      </c>
      <c r="F110" s="98">
        <f t="shared" si="22"/>
        <v>98.814999999999998</v>
      </c>
      <c r="G110" s="98">
        <f t="shared" si="22"/>
        <v>140.185</v>
      </c>
      <c r="H110" s="98">
        <f t="shared" si="22"/>
        <v>39.433999999999997</v>
      </c>
      <c r="I110" s="98">
        <f t="shared" si="22"/>
        <v>1327.6379999999999</v>
      </c>
      <c r="J110" s="98">
        <f t="shared" si="22"/>
        <v>17.344000000000001</v>
      </c>
      <c r="K110" s="98">
        <f t="shared" si="22"/>
        <v>659.06400000000008</v>
      </c>
      <c r="L110" s="98">
        <f t="shared" si="22"/>
        <v>303.15600000000001</v>
      </c>
      <c r="M110" s="98">
        <f t="shared" si="22"/>
        <v>48.795000000000002</v>
      </c>
      <c r="N110" s="98">
        <f t="shared" si="22"/>
        <v>1028.3589999999999</v>
      </c>
      <c r="O110" s="98">
        <f t="shared" si="22"/>
        <v>2355.9970000000003</v>
      </c>
    </row>
    <row r="111" spans="1:15" ht="12.75" customHeight="1" x14ac:dyDescent="0.2">
      <c r="A111" s="153" t="s">
        <v>135</v>
      </c>
      <c r="B111" s="98">
        <v>205.78</v>
      </c>
      <c r="C111" s="98">
        <v>97.141999999999996</v>
      </c>
      <c r="D111" s="98">
        <v>47.293999999999997</v>
      </c>
      <c r="E111" s="98">
        <v>20.815999999999999</v>
      </c>
      <c r="F111" s="98">
        <v>30.890999999999998</v>
      </c>
      <c r="G111" s="98">
        <v>42.884999999999998</v>
      </c>
      <c r="H111" s="98">
        <v>7.8360000000000003</v>
      </c>
      <c r="I111" s="98">
        <f>SUM(B111:H111)</f>
        <v>452.64400000000001</v>
      </c>
      <c r="J111" s="98">
        <v>8.0310000000000006</v>
      </c>
      <c r="K111" s="98">
        <v>209.07499999999999</v>
      </c>
      <c r="L111" s="98">
        <v>122.014</v>
      </c>
      <c r="M111" s="98">
        <f>2.347+16.399</f>
        <v>18.746000000000002</v>
      </c>
      <c r="N111" s="98">
        <f>SUM(J111:M111)</f>
        <v>357.86599999999999</v>
      </c>
      <c r="O111" s="98">
        <f>I111+N111</f>
        <v>810.51</v>
      </c>
    </row>
    <row r="112" spans="1:15" ht="12.75" customHeight="1" x14ac:dyDescent="0.2">
      <c r="A112" s="153" t="s">
        <v>148</v>
      </c>
      <c r="B112" s="98">
        <v>188.726</v>
      </c>
      <c r="C112" s="98">
        <v>85.555000000000007</v>
      </c>
      <c r="D112" s="98">
        <v>46.587000000000003</v>
      </c>
      <c r="E112" s="98">
        <v>18.952999999999999</v>
      </c>
      <c r="F112" s="98">
        <v>24.632000000000001</v>
      </c>
      <c r="G112" s="98">
        <v>49.529000000000003</v>
      </c>
      <c r="H112" s="98">
        <v>6.6589999999999998</v>
      </c>
      <c r="I112" s="98">
        <f>SUM(B112:H112)</f>
        <v>420.64099999999996</v>
      </c>
      <c r="J112" s="98">
        <v>6.7750000000000004</v>
      </c>
      <c r="K112" s="98">
        <v>195.15100000000001</v>
      </c>
      <c r="L112" s="98">
        <v>114.633</v>
      </c>
      <c r="M112" s="98">
        <f>1.887+1.99</f>
        <v>3.8769999999999998</v>
      </c>
      <c r="N112" s="98">
        <f>SUM(J112:M112)</f>
        <v>320.43600000000004</v>
      </c>
      <c r="O112" s="98">
        <f>I112+N112</f>
        <v>741.077</v>
      </c>
    </row>
    <row r="113" spans="1:15" ht="12.75" customHeight="1" x14ac:dyDescent="0.2">
      <c r="A113" s="153" t="s">
        <v>87</v>
      </c>
      <c r="B113" s="98">
        <v>162.684</v>
      </c>
      <c r="C113" s="98">
        <v>73.031999999999996</v>
      </c>
      <c r="D113" s="98">
        <v>39.024000000000001</v>
      </c>
      <c r="E113" s="98">
        <v>17.11</v>
      </c>
      <c r="F113" s="98">
        <v>19.655999999999999</v>
      </c>
      <c r="G113" s="98">
        <v>43.093000000000004</v>
      </c>
      <c r="H113" s="98">
        <v>8.9870000000000001</v>
      </c>
      <c r="I113" s="98">
        <f>SUM(B113:H113)</f>
        <v>363.58600000000007</v>
      </c>
      <c r="J113" s="98">
        <v>5.2320000000000002</v>
      </c>
      <c r="K113" s="98">
        <v>181.72300000000001</v>
      </c>
      <c r="L113" s="98">
        <v>88.668000000000006</v>
      </c>
      <c r="M113" s="98">
        <f>1.211+15.524</f>
        <v>16.734999999999999</v>
      </c>
      <c r="N113" s="98">
        <f>SUM(J113:M113)</f>
        <v>292.35800000000006</v>
      </c>
      <c r="O113" s="98">
        <f>I113+N113</f>
        <v>655.94400000000019</v>
      </c>
    </row>
    <row r="114" spans="1:15" x14ac:dyDescent="0.2">
      <c r="A114" s="153" t="s">
        <v>129</v>
      </c>
      <c r="B114" s="98">
        <f t="shared" ref="B114:O114" si="23">B111+B112+B113</f>
        <v>557.18999999999994</v>
      </c>
      <c r="C114" s="98">
        <f t="shared" si="23"/>
        <v>255.72899999999998</v>
      </c>
      <c r="D114" s="98">
        <f t="shared" si="23"/>
        <v>132.905</v>
      </c>
      <c r="E114" s="98">
        <f t="shared" si="23"/>
        <v>56.878999999999998</v>
      </c>
      <c r="F114" s="98">
        <f t="shared" si="23"/>
        <v>75.179000000000002</v>
      </c>
      <c r="G114" s="98">
        <f t="shared" si="23"/>
        <v>135.50700000000001</v>
      </c>
      <c r="H114" s="98">
        <f t="shared" si="23"/>
        <v>23.481999999999999</v>
      </c>
      <c r="I114" s="98">
        <f t="shared" si="23"/>
        <v>1236.8710000000001</v>
      </c>
      <c r="J114" s="98">
        <f t="shared" si="23"/>
        <v>20.038</v>
      </c>
      <c r="K114" s="98">
        <f t="shared" si="23"/>
        <v>585.94900000000007</v>
      </c>
      <c r="L114" s="98">
        <f t="shared" si="23"/>
        <v>325.315</v>
      </c>
      <c r="M114" s="98">
        <f t="shared" si="23"/>
        <v>39.358000000000004</v>
      </c>
      <c r="N114" s="98">
        <f t="shared" si="23"/>
        <v>970.66000000000008</v>
      </c>
      <c r="O114" s="98">
        <f t="shared" si="23"/>
        <v>2207.5309999999999</v>
      </c>
    </row>
    <row r="115" spans="1:15" x14ac:dyDescent="0.2">
      <c r="A115" s="86"/>
      <c r="B115" s="98"/>
      <c r="C115" s="98"/>
      <c r="D115" s="98"/>
      <c r="E115" s="98"/>
      <c r="F115" s="98"/>
      <c r="G115" s="98"/>
      <c r="H115" s="98"/>
      <c r="I115" s="98"/>
      <c r="J115" s="98"/>
      <c r="K115" s="98"/>
      <c r="L115" s="98"/>
      <c r="M115" s="98"/>
      <c r="N115" s="98"/>
      <c r="O115" s="98"/>
    </row>
    <row r="116" spans="1:15" x14ac:dyDescent="0.2">
      <c r="A116" s="86">
        <v>2007</v>
      </c>
    </row>
    <row r="117" spans="1:15" ht="12.75" customHeight="1" x14ac:dyDescent="0.2">
      <c r="A117" s="76" t="s">
        <v>74</v>
      </c>
      <c r="B117" s="98">
        <v>202.006</v>
      </c>
      <c r="C117" s="98">
        <v>87.912999999999997</v>
      </c>
      <c r="D117" s="98">
        <v>45.128</v>
      </c>
      <c r="E117" s="98">
        <v>21.675999999999998</v>
      </c>
      <c r="F117" s="98">
        <v>24.638000000000002</v>
      </c>
      <c r="G117" s="98">
        <v>44.331000000000003</v>
      </c>
      <c r="H117" s="98">
        <v>6.6289999999999996</v>
      </c>
      <c r="I117" s="98">
        <f>SUM(B117:H117)</f>
        <v>432.32099999999997</v>
      </c>
      <c r="J117" s="98">
        <v>5.9420000000000002</v>
      </c>
      <c r="K117" s="98">
        <v>177.50800000000001</v>
      </c>
      <c r="L117" s="98">
        <v>77.548000000000002</v>
      </c>
      <c r="M117" s="98">
        <f>1.55+11.619</f>
        <v>13.169</v>
      </c>
      <c r="N117" s="98">
        <f>SUM(J117:M117)</f>
        <v>274.16700000000003</v>
      </c>
      <c r="O117" s="98">
        <f>I117+N117</f>
        <v>706.48800000000006</v>
      </c>
    </row>
    <row r="118" spans="1:15" ht="12.75" customHeight="1" x14ac:dyDescent="0.2">
      <c r="A118" s="76" t="s">
        <v>140</v>
      </c>
      <c r="B118" s="98">
        <v>188.565</v>
      </c>
      <c r="C118" s="98">
        <v>86.727000000000004</v>
      </c>
      <c r="D118" s="98">
        <v>40.74</v>
      </c>
      <c r="E118" s="98">
        <v>18.969000000000001</v>
      </c>
      <c r="F118" s="98">
        <v>23.178000000000001</v>
      </c>
      <c r="G118" s="98">
        <v>41.387</v>
      </c>
      <c r="H118" s="98">
        <v>6.8040000000000003</v>
      </c>
      <c r="I118" s="98">
        <f>SUM(B118:H118)</f>
        <v>406.37</v>
      </c>
      <c r="J118" s="98">
        <v>4.298</v>
      </c>
      <c r="K118" s="98">
        <v>162.29900000000001</v>
      </c>
      <c r="L118" s="98">
        <v>72.256</v>
      </c>
      <c r="M118" s="98">
        <f>1.075+11.439</f>
        <v>12.513999999999999</v>
      </c>
      <c r="N118" s="98">
        <f>SUM(J118:M118)</f>
        <v>251.36700000000002</v>
      </c>
      <c r="O118" s="98">
        <f>I118+N118</f>
        <v>657.73700000000008</v>
      </c>
    </row>
    <row r="119" spans="1:15" ht="12.75" customHeight="1" x14ac:dyDescent="0.2">
      <c r="A119" s="76" t="s">
        <v>76</v>
      </c>
      <c r="B119" s="98">
        <v>201.649</v>
      </c>
      <c r="C119" s="98">
        <v>95.754999999999995</v>
      </c>
      <c r="D119" s="98">
        <v>50.436999999999998</v>
      </c>
      <c r="E119" s="98">
        <v>25.861999999999998</v>
      </c>
      <c r="F119" s="98">
        <v>29.108000000000001</v>
      </c>
      <c r="G119" s="98">
        <v>46.341999999999999</v>
      </c>
      <c r="H119" s="98">
        <v>7.8220000000000001</v>
      </c>
      <c r="I119" s="98">
        <f>SUM(B119:H119)</f>
        <v>456.97500000000002</v>
      </c>
      <c r="J119" s="98">
        <v>5.74</v>
      </c>
      <c r="K119" s="98">
        <v>216.589</v>
      </c>
      <c r="L119" s="98">
        <v>100.07599999999999</v>
      </c>
      <c r="M119" s="98">
        <f>1.428+11.208</f>
        <v>12.635999999999999</v>
      </c>
      <c r="N119" s="98">
        <f>SUM(J119:M119)</f>
        <v>335.041</v>
      </c>
      <c r="O119" s="98">
        <f>I119+N119</f>
        <v>792.01600000000008</v>
      </c>
    </row>
    <row r="120" spans="1:15" x14ac:dyDescent="0.2">
      <c r="A120" s="86" t="s">
        <v>126</v>
      </c>
      <c r="B120" s="98">
        <f t="shared" ref="B120:O120" si="24">B117+B118+B119</f>
        <v>592.22</v>
      </c>
      <c r="C120" s="98">
        <f t="shared" si="24"/>
        <v>270.39499999999998</v>
      </c>
      <c r="D120" s="98">
        <f t="shared" si="24"/>
        <v>136.30500000000001</v>
      </c>
      <c r="E120" s="98">
        <f t="shared" si="24"/>
        <v>66.506999999999991</v>
      </c>
      <c r="F120" s="98">
        <f t="shared" si="24"/>
        <v>76.924000000000007</v>
      </c>
      <c r="G120" s="98">
        <f t="shared" si="24"/>
        <v>132.06</v>
      </c>
      <c r="H120" s="98">
        <f t="shared" si="24"/>
        <v>21.254999999999999</v>
      </c>
      <c r="I120" s="98">
        <f t="shared" si="24"/>
        <v>1295.6660000000002</v>
      </c>
      <c r="J120" s="98">
        <f t="shared" si="24"/>
        <v>15.98</v>
      </c>
      <c r="K120" s="98">
        <f t="shared" si="24"/>
        <v>556.39599999999996</v>
      </c>
      <c r="L120" s="98">
        <f t="shared" si="24"/>
        <v>249.88</v>
      </c>
      <c r="M120" s="98">
        <f t="shared" si="24"/>
        <v>38.319000000000003</v>
      </c>
      <c r="N120" s="98">
        <f t="shared" si="24"/>
        <v>860.57500000000005</v>
      </c>
      <c r="O120" s="98">
        <f t="shared" si="24"/>
        <v>2156.241</v>
      </c>
    </row>
    <row r="121" spans="1:15" ht="12.75" customHeight="1" x14ac:dyDescent="0.2">
      <c r="A121" s="76" t="s">
        <v>78</v>
      </c>
      <c r="B121" s="98">
        <v>197.376</v>
      </c>
      <c r="C121" s="98">
        <v>94.028000000000006</v>
      </c>
      <c r="D121" s="98">
        <v>51.78</v>
      </c>
      <c r="E121" s="98">
        <v>25.618000000000002</v>
      </c>
      <c r="F121" s="98">
        <v>30.121000000000002</v>
      </c>
      <c r="G121" s="98">
        <v>49.225999999999999</v>
      </c>
      <c r="H121" s="98">
        <v>7.3150000000000004</v>
      </c>
      <c r="I121" s="98">
        <f>SUM(B121:H121)</f>
        <v>455.46399999999994</v>
      </c>
      <c r="J121" s="98">
        <v>7.4710000000000001</v>
      </c>
      <c r="K121" s="98">
        <v>209.28899999999999</v>
      </c>
      <c r="L121" s="98">
        <v>94.251999999999995</v>
      </c>
      <c r="M121" s="98">
        <f>1.993+14.768</f>
        <v>16.760999999999999</v>
      </c>
      <c r="N121" s="98">
        <f>SUM(J121:M121)</f>
        <v>327.77300000000002</v>
      </c>
      <c r="O121" s="98">
        <f>I121+N121</f>
        <v>783.23699999999997</v>
      </c>
    </row>
    <row r="122" spans="1:15" ht="12.75" customHeight="1" x14ac:dyDescent="0.2">
      <c r="A122" s="153" t="s">
        <v>79</v>
      </c>
      <c r="B122" s="98">
        <v>207.18799999999999</v>
      </c>
      <c r="C122" s="98">
        <v>99.114999999999995</v>
      </c>
      <c r="D122" s="98">
        <v>56.683</v>
      </c>
      <c r="E122" s="98">
        <v>27.614999999999998</v>
      </c>
      <c r="F122" s="98">
        <v>29.152000000000001</v>
      </c>
      <c r="G122" s="98">
        <v>50.29</v>
      </c>
      <c r="H122" s="98">
        <v>8.8339999999999996</v>
      </c>
      <c r="I122" s="98">
        <f>SUM(B122:H122)</f>
        <v>478.87700000000001</v>
      </c>
      <c r="J122" s="98">
        <v>5.16</v>
      </c>
      <c r="K122" s="98">
        <v>207.09</v>
      </c>
      <c r="L122" s="98">
        <v>98.26</v>
      </c>
      <c r="M122" s="98">
        <f>1.27+14.429</f>
        <v>15.699</v>
      </c>
      <c r="N122" s="98">
        <f>SUM(J122:M122)</f>
        <v>326.209</v>
      </c>
      <c r="O122" s="98">
        <f>I122+N122</f>
        <v>805.08600000000001</v>
      </c>
    </row>
    <row r="123" spans="1:15" ht="12.75" customHeight="1" x14ac:dyDescent="0.2">
      <c r="A123" s="153" t="s">
        <v>89</v>
      </c>
      <c r="B123" s="98">
        <v>201.40299999999999</v>
      </c>
      <c r="C123" s="98">
        <v>91.364999999999995</v>
      </c>
      <c r="D123" s="98">
        <v>55.018999999999998</v>
      </c>
      <c r="E123" s="98">
        <v>29.074000000000002</v>
      </c>
      <c r="F123" s="98">
        <v>34.606999999999999</v>
      </c>
      <c r="G123" s="98">
        <v>44.798999999999999</v>
      </c>
      <c r="H123" s="98">
        <v>11.225</v>
      </c>
      <c r="I123" s="98">
        <f>SUM(B123:H123)</f>
        <v>467.49199999999996</v>
      </c>
      <c r="J123" s="98">
        <v>5.8250000000000002</v>
      </c>
      <c r="K123" s="98">
        <v>199.59399999999999</v>
      </c>
      <c r="L123" s="98">
        <v>102.20699999999999</v>
      </c>
      <c r="M123" s="98">
        <f>1.369+16.96</f>
        <v>18.329000000000001</v>
      </c>
      <c r="N123" s="98">
        <f>SUM(J123:M123)</f>
        <v>325.95499999999998</v>
      </c>
      <c r="O123" s="98">
        <f>I123+N123</f>
        <v>793.44699999999989</v>
      </c>
    </row>
    <row r="124" spans="1:15" x14ac:dyDescent="0.2">
      <c r="A124" s="153" t="s">
        <v>127</v>
      </c>
      <c r="B124" s="98">
        <f t="shared" ref="B124:O124" si="25">B121+B122+B123</f>
        <v>605.96699999999998</v>
      </c>
      <c r="C124" s="98">
        <f t="shared" si="25"/>
        <v>284.50799999999998</v>
      </c>
      <c r="D124" s="98">
        <f t="shared" si="25"/>
        <v>163.482</v>
      </c>
      <c r="E124" s="98">
        <f t="shared" si="25"/>
        <v>82.307000000000002</v>
      </c>
      <c r="F124" s="98">
        <f t="shared" si="25"/>
        <v>93.88</v>
      </c>
      <c r="G124" s="98">
        <f t="shared" si="25"/>
        <v>144.315</v>
      </c>
      <c r="H124" s="98">
        <f t="shared" si="25"/>
        <v>27.374000000000002</v>
      </c>
      <c r="I124" s="98">
        <f t="shared" si="25"/>
        <v>1401.8329999999999</v>
      </c>
      <c r="J124" s="98">
        <f t="shared" si="25"/>
        <v>18.456</v>
      </c>
      <c r="K124" s="98">
        <f t="shared" si="25"/>
        <v>615.97299999999996</v>
      </c>
      <c r="L124" s="98">
        <f t="shared" si="25"/>
        <v>294.71899999999999</v>
      </c>
      <c r="M124" s="98">
        <f t="shared" si="25"/>
        <v>50.789000000000001</v>
      </c>
      <c r="N124" s="98">
        <f t="shared" si="25"/>
        <v>979.9369999999999</v>
      </c>
      <c r="O124" s="98">
        <f t="shared" si="25"/>
        <v>2381.7699999999995</v>
      </c>
    </row>
    <row r="125" spans="1:15" ht="12.75" customHeight="1" x14ac:dyDescent="0.2">
      <c r="A125" s="153" t="s">
        <v>90</v>
      </c>
      <c r="B125" s="98">
        <v>198.91200000000001</v>
      </c>
      <c r="C125" s="98">
        <v>90.113</v>
      </c>
      <c r="D125" s="98">
        <v>52.009</v>
      </c>
      <c r="E125" s="98">
        <v>26.975999999999999</v>
      </c>
      <c r="F125" s="98">
        <v>35.984999999999999</v>
      </c>
      <c r="G125" s="98">
        <v>48.512</v>
      </c>
      <c r="H125" s="98">
        <v>11.474</v>
      </c>
      <c r="I125" s="98">
        <f>SUM(B125:H125)</f>
        <v>463.98099999999999</v>
      </c>
      <c r="J125" s="98">
        <v>4.7789999999999999</v>
      </c>
      <c r="K125" s="98">
        <v>196.03</v>
      </c>
      <c r="L125" s="98">
        <v>97.58</v>
      </c>
      <c r="M125" s="98">
        <f>1.234+18.723</f>
        <v>19.957000000000001</v>
      </c>
      <c r="N125" s="98">
        <f>SUM(J125:M125)</f>
        <v>318.346</v>
      </c>
      <c r="O125" s="98">
        <f>I125+N125</f>
        <v>782.327</v>
      </c>
    </row>
    <row r="126" spans="1:15" ht="12.75" customHeight="1" x14ac:dyDescent="0.2">
      <c r="A126" s="153" t="s">
        <v>81</v>
      </c>
      <c r="B126" s="98">
        <v>223.85499999999999</v>
      </c>
      <c r="C126" s="98">
        <v>108.492</v>
      </c>
      <c r="D126" s="98">
        <v>55.594000000000001</v>
      </c>
      <c r="E126" s="98">
        <v>27.488</v>
      </c>
      <c r="F126" s="98">
        <v>37.091000000000001</v>
      </c>
      <c r="G126" s="98">
        <v>51.268999999999998</v>
      </c>
      <c r="H126" s="98">
        <v>10.888999999999999</v>
      </c>
      <c r="I126" s="98">
        <f>SUM(B126:H126)</f>
        <v>514.678</v>
      </c>
      <c r="J126" s="98">
        <v>7.9109999999999996</v>
      </c>
      <c r="K126" s="98">
        <v>236.78100000000001</v>
      </c>
      <c r="L126" s="98">
        <v>121.569</v>
      </c>
      <c r="M126" s="98">
        <f>1.863+20.222</f>
        <v>22.085000000000001</v>
      </c>
      <c r="N126" s="98">
        <f>SUM(J126:M126)</f>
        <v>388.346</v>
      </c>
      <c r="O126" s="98">
        <f>I126+N126</f>
        <v>903.024</v>
      </c>
    </row>
    <row r="127" spans="1:15" ht="12.75" customHeight="1" x14ac:dyDescent="0.2">
      <c r="A127" s="153" t="s">
        <v>82</v>
      </c>
      <c r="B127" s="98">
        <v>201.98</v>
      </c>
      <c r="C127" s="98">
        <v>97.147999999999996</v>
      </c>
      <c r="D127" s="98">
        <v>48.137999999999998</v>
      </c>
      <c r="E127" s="98">
        <v>23.129000000000001</v>
      </c>
      <c r="F127" s="98">
        <v>32.103999999999999</v>
      </c>
      <c r="G127" s="98">
        <v>52.497999999999998</v>
      </c>
      <c r="H127" s="98">
        <v>7.524</v>
      </c>
      <c r="I127" s="98">
        <f>SUM(B127:H127)</f>
        <v>462.52099999999996</v>
      </c>
      <c r="J127" s="98">
        <v>5.5629999999999997</v>
      </c>
      <c r="K127" s="98">
        <v>215.04599999999999</v>
      </c>
      <c r="L127" s="98">
        <v>106.126</v>
      </c>
      <c r="M127" s="98">
        <f>1.443+17.782</f>
        <v>19.225000000000001</v>
      </c>
      <c r="N127" s="98">
        <f>SUM(J127:M127)</f>
        <v>345.96000000000004</v>
      </c>
      <c r="O127" s="98">
        <f>I127+N127</f>
        <v>808.48099999999999</v>
      </c>
    </row>
    <row r="128" spans="1:15" x14ac:dyDescent="0.2">
      <c r="A128" s="153" t="s">
        <v>128</v>
      </c>
      <c r="B128" s="98">
        <f t="shared" ref="B128:O128" si="26">B125+B126+B127</f>
        <v>624.74699999999996</v>
      </c>
      <c r="C128" s="98">
        <f t="shared" si="26"/>
        <v>295.75300000000004</v>
      </c>
      <c r="D128" s="98">
        <f t="shared" si="26"/>
        <v>155.74100000000001</v>
      </c>
      <c r="E128" s="98">
        <f t="shared" si="26"/>
        <v>77.593000000000004</v>
      </c>
      <c r="F128" s="98">
        <f t="shared" si="26"/>
        <v>105.17999999999999</v>
      </c>
      <c r="G128" s="98">
        <f t="shared" si="26"/>
        <v>152.279</v>
      </c>
      <c r="H128" s="98">
        <f t="shared" si="26"/>
        <v>29.887</v>
      </c>
      <c r="I128" s="98">
        <f t="shared" si="26"/>
        <v>1441.1799999999998</v>
      </c>
      <c r="J128" s="98">
        <f t="shared" si="26"/>
        <v>18.253</v>
      </c>
      <c r="K128" s="98">
        <f t="shared" si="26"/>
        <v>647.85699999999997</v>
      </c>
      <c r="L128" s="98">
        <f t="shared" si="26"/>
        <v>325.27499999999998</v>
      </c>
      <c r="M128" s="98">
        <f t="shared" si="26"/>
        <v>61.267000000000003</v>
      </c>
      <c r="N128" s="98">
        <f t="shared" si="26"/>
        <v>1052.652</v>
      </c>
      <c r="O128" s="98">
        <f t="shared" si="26"/>
        <v>2493.8320000000003</v>
      </c>
    </row>
    <row r="129" spans="1:15" ht="12.75" customHeight="1" x14ac:dyDescent="0.2">
      <c r="A129" s="153" t="s">
        <v>135</v>
      </c>
      <c r="B129" s="98">
        <v>211.06800000000001</v>
      </c>
      <c r="C129" s="98">
        <v>96.213000000000008</v>
      </c>
      <c r="D129" s="98">
        <v>55.88</v>
      </c>
      <c r="E129" s="98">
        <v>29.656000000000002</v>
      </c>
      <c r="F129" s="98">
        <v>32.963999999999999</v>
      </c>
      <c r="G129" s="98">
        <v>47.713999999999999</v>
      </c>
      <c r="H129" s="98">
        <v>8.4329999999999998</v>
      </c>
      <c r="I129" s="98">
        <v>481.928</v>
      </c>
      <c r="J129" s="98">
        <v>8.52</v>
      </c>
      <c r="K129" s="98">
        <v>199.52500000000001</v>
      </c>
      <c r="L129" s="98">
        <v>127.69500000000001</v>
      </c>
      <c r="M129" s="98">
        <v>16.373999999999999</v>
      </c>
      <c r="N129" s="98">
        <v>352.11400000000003</v>
      </c>
      <c r="O129" s="98">
        <v>834.04200000000003</v>
      </c>
    </row>
    <row r="130" spans="1:15" ht="12.75" customHeight="1" x14ac:dyDescent="0.2">
      <c r="A130" s="153" t="s">
        <v>148</v>
      </c>
      <c r="B130" s="98">
        <v>196.28200000000001</v>
      </c>
      <c r="C130" s="98">
        <v>92.658000000000001</v>
      </c>
      <c r="D130" s="98">
        <v>53.79</v>
      </c>
      <c r="E130" s="98">
        <v>30.763000000000002</v>
      </c>
      <c r="F130" s="98">
        <v>28.965</v>
      </c>
      <c r="G130" s="98">
        <v>50.207000000000001</v>
      </c>
      <c r="H130" s="98">
        <v>8.4909999999999997</v>
      </c>
      <c r="I130" s="98">
        <v>461.15600000000001</v>
      </c>
      <c r="J130" s="98">
        <v>7.5360000000000005</v>
      </c>
      <c r="K130" s="98">
        <v>220.11</v>
      </c>
      <c r="L130" s="98">
        <v>123.998</v>
      </c>
      <c r="M130" s="98">
        <v>13.019</v>
      </c>
      <c r="N130" s="98">
        <v>364.66300000000001</v>
      </c>
      <c r="O130" s="98">
        <v>825.81900000000007</v>
      </c>
    </row>
    <row r="131" spans="1:15" ht="12.75" customHeight="1" x14ac:dyDescent="0.2">
      <c r="A131" s="153" t="s">
        <v>87</v>
      </c>
      <c r="B131" s="98">
        <v>168.02700000000002</v>
      </c>
      <c r="C131" s="98">
        <v>70.022999999999996</v>
      </c>
      <c r="D131" s="98">
        <v>43.576000000000001</v>
      </c>
      <c r="E131" s="98">
        <v>24.978999999999999</v>
      </c>
      <c r="F131" s="98">
        <v>22.087</v>
      </c>
      <c r="G131" s="98">
        <v>42.04</v>
      </c>
      <c r="H131" s="98">
        <v>6.8680000000000003</v>
      </c>
      <c r="I131" s="98">
        <v>377.6</v>
      </c>
      <c r="J131" s="98">
        <v>5.1130000000000004</v>
      </c>
      <c r="K131" s="98">
        <v>170.773</v>
      </c>
      <c r="L131" s="98">
        <v>89.28</v>
      </c>
      <c r="M131" s="98">
        <v>13.081</v>
      </c>
      <c r="N131" s="98">
        <v>278.24700000000001</v>
      </c>
      <c r="O131" s="98">
        <v>655.84699999999998</v>
      </c>
    </row>
    <row r="132" spans="1:15" x14ac:dyDescent="0.2">
      <c r="A132" s="153" t="s">
        <v>129</v>
      </c>
      <c r="B132" s="98">
        <f t="shared" ref="B132:O132" si="27">B129+B130+B131</f>
        <v>575.37700000000007</v>
      </c>
      <c r="C132" s="98">
        <f t="shared" si="27"/>
        <v>258.89400000000001</v>
      </c>
      <c r="D132" s="98">
        <f t="shared" si="27"/>
        <v>153.24600000000001</v>
      </c>
      <c r="E132" s="98">
        <f t="shared" si="27"/>
        <v>85.397999999999996</v>
      </c>
      <c r="F132" s="98">
        <f t="shared" si="27"/>
        <v>84.016000000000005</v>
      </c>
      <c r="G132" s="98">
        <f t="shared" si="27"/>
        <v>139.96099999999998</v>
      </c>
      <c r="H132" s="98">
        <f t="shared" si="27"/>
        <v>23.792000000000002</v>
      </c>
      <c r="I132" s="98">
        <f t="shared" si="27"/>
        <v>1320.6840000000002</v>
      </c>
      <c r="J132" s="98">
        <f t="shared" si="27"/>
        <v>21.169</v>
      </c>
      <c r="K132" s="98">
        <f t="shared" si="27"/>
        <v>590.40800000000002</v>
      </c>
      <c r="L132" s="98">
        <f t="shared" si="27"/>
        <v>340.97300000000001</v>
      </c>
      <c r="M132" s="98">
        <f t="shared" si="27"/>
        <v>42.474000000000004</v>
      </c>
      <c r="N132" s="98">
        <f t="shared" si="27"/>
        <v>995.02400000000011</v>
      </c>
      <c r="O132" s="98">
        <f t="shared" si="27"/>
        <v>2315.7080000000001</v>
      </c>
    </row>
    <row r="133" spans="1:15" x14ac:dyDescent="0.2">
      <c r="A133" s="86"/>
      <c r="B133" s="98"/>
      <c r="C133" s="98"/>
      <c r="D133" s="98"/>
      <c r="E133" s="98"/>
      <c r="F133" s="98"/>
      <c r="G133" s="98"/>
      <c r="H133" s="98"/>
      <c r="I133" s="98"/>
      <c r="J133" s="98"/>
      <c r="K133" s="98"/>
      <c r="L133" s="98"/>
      <c r="M133" s="98"/>
      <c r="N133" s="98"/>
      <c r="O133" s="98"/>
    </row>
    <row r="134" spans="1:15" x14ac:dyDescent="0.2">
      <c r="A134" s="86">
        <v>2008</v>
      </c>
      <c r="B134" s="98"/>
      <c r="C134" s="98"/>
      <c r="D134" s="98"/>
      <c r="E134" s="98"/>
      <c r="F134" s="98"/>
      <c r="G134" s="98"/>
      <c r="H134" s="98"/>
      <c r="I134" s="98"/>
      <c r="J134" s="98"/>
      <c r="K134" s="98"/>
      <c r="L134" s="98"/>
      <c r="M134" s="98"/>
      <c r="N134" s="98"/>
      <c r="O134" s="98"/>
    </row>
    <row r="135" spans="1:15" ht="12.75" customHeight="1" x14ac:dyDescent="0.2">
      <c r="A135" s="76" t="s">
        <v>74</v>
      </c>
      <c r="B135" s="98">
        <v>210.30199999999999</v>
      </c>
      <c r="C135" s="98">
        <v>88.204000000000008</v>
      </c>
      <c r="D135" s="98">
        <v>45.471000000000004</v>
      </c>
      <c r="E135" s="98">
        <v>26.22</v>
      </c>
      <c r="F135" s="98">
        <v>30.510999999999999</v>
      </c>
      <c r="G135" s="98">
        <v>44.847999999999999</v>
      </c>
      <c r="H135" s="98">
        <v>7.5070000000000006</v>
      </c>
      <c r="I135" s="98">
        <v>453.06299999999999</v>
      </c>
      <c r="J135" s="98">
        <v>5.798</v>
      </c>
      <c r="K135" s="98">
        <v>173.935</v>
      </c>
      <c r="L135" s="98">
        <v>85.055999999999997</v>
      </c>
      <c r="M135" s="98">
        <v>14.661</v>
      </c>
      <c r="N135" s="98">
        <v>279.45</v>
      </c>
      <c r="O135" s="98">
        <v>732.51300000000003</v>
      </c>
    </row>
    <row r="136" spans="1:15" ht="12.75" customHeight="1" x14ac:dyDescent="0.2">
      <c r="A136" s="76" t="s">
        <v>140</v>
      </c>
      <c r="B136" s="98">
        <v>198.67000000000002</v>
      </c>
      <c r="C136" s="98">
        <v>91.888000000000005</v>
      </c>
      <c r="D136" s="98">
        <v>46.6</v>
      </c>
      <c r="E136" s="98">
        <v>27.102</v>
      </c>
      <c r="F136" s="98">
        <v>33.195999999999998</v>
      </c>
      <c r="G136" s="98">
        <v>51.448</v>
      </c>
      <c r="H136" s="98">
        <v>7.0259999999999998</v>
      </c>
      <c r="I136" s="98">
        <v>455.93</v>
      </c>
      <c r="J136" s="98">
        <v>5.617</v>
      </c>
      <c r="K136" s="98">
        <v>199.58500000000001</v>
      </c>
      <c r="L136" s="98">
        <v>87.120999999999995</v>
      </c>
      <c r="M136" s="98">
        <v>16.894000000000002</v>
      </c>
      <c r="N136" s="98">
        <v>309.21699999999998</v>
      </c>
      <c r="O136" s="98">
        <v>765.14700000000005</v>
      </c>
    </row>
    <row r="137" spans="1:15" ht="12.75" customHeight="1" x14ac:dyDescent="0.2">
      <c r="A137" s="76" t="s">
        <v>76</v>
      </c>
      <c r="B137" s="98">
        <v>195.572</v>
      </c>
      <c r="C137" s="98">
        <v>88.506</v>
      </c>
      <c r="D137" s="98">
        <v>53.532000000000004</v>
      </c>
      <c r="E137" s="98">
        <v>32.262999999999998</v>
      </c>
      <c r="F137" s="98">
        <v>32.298999999999999</v>
      </c>
      <c r="G137" s="98">
        <v>57.765999999999998</v>
      </c>
      <c r="H137" s="98">
        <v>11.604000000000001</v>
      </c>
      <c r="I137" s="98">
        <v>471.54200000000003</v>
      </c>
      <c r="J137" s="98">
        <v>6.3529999999999998</v>
      </c>
      <c r="K137" s="98">
        <v>212.90200000000002</v>
      </c>
      <c r="L137" s="98">
        <v>89.304000000000002</v>
      </c>
      <c r="M137" s="98">
        <v>15.749000000000001</v>
      </c>
      <c r="N137" s="98">
        <v>324.30799999999999</v>
      </c>
      <c r="O137" s="98">
        <v>795.85</v>
      </c>
    </row>
    <row r="138" spans="1:15" x14ac:dyDescent="0.2">
      <c r="A138" s="86" t="s">
        <v>126</v>
      </c>
      <c r="B138" s="98">
        <f t="shared" ref="B138:O138" si="28">B135+B136+B137</f>
        <v>604.54399999999998</v>
      </c>
      <c r="C138" s="98">
        <f t="shared" si="28"/>
        <v>268.59800000000001</v>
      </c>
      <c r="D138" s="98">
        <f t="shared" si="28"/>
        <v>145.60300000000001</v>
      </c>
      <c r="E138" s="98">
        <f t="shared" si="28"/>
        <v>85.585000000000008</v>
      </c>
      <c r="F138" s="98">
        <f t="shared" si="28"/>
        <v>96.006</v>
      </c>
      <c r="G138" s="98">
        <f t="shared" si="28"/>
        <v>154.06199999999998</v>
      </c>
      <c r="H138" s="98">
        <f t="shared" si="28"/>
        <v>26.137</v>
      </c>
      <c r="I138" s="98">
        <f t="shared" si="28"/>
        <v>1380.5349999999999</v>
      </c>
      <c r="J138" s="98">
        <f t="shared" si="28"/>
        <v>17.768000000000001</v>
      </c>
      <c r="K138" s="98">
        <f t="shared" si="28"/>
        <v>586.42200000000003</v>
      </c>
      <c r="L138" s="98">
        <f t="shared" si="28"/>
        <v>261.48099999999999</v>
      </c>
      <c r="M138" s="98">
        <f t="shared" si="28"/>
        <v>47.304000000000002</v>
      </c>
      <c r="N138" s="98">
        <f t="shared" si="28"/>
        <v>912.97499999999991</v>
      </c>
      <c r="O138" s="98">
        <f t="shared" si="28"/>
        <v>2293.5100000000002</v>
      </c>
    </row>
    <row r="139" spans="1:15" ht="12.75" customHeight="1" x14ac:dyDescent="0.2">
      <c r="A139" s="76" t="s">
        <v>78</v>
      </c>
      <c r="B139" s="98">
        <v>194.834</v>
      </c>
      <c r="C139" s="98">
        <v>94.924000000000007</v>
      </c>
      <c r="D139" s="98">
        <v>51.515000000000001</v>
      </c>
      <c r="E139" s="98">
        <v>31.236000000000001</v>
      </c>
      <c r="F139" s="98">
        <v>31.259</v>
      </c>
      <c r="G139" s="98">
        <v>57.018999999999998</v>
      </c>
      <c r="H139" s="98">
        <v>6.9950000000000001</v>
      </c>
      <c r="I139" s="98">
        <v>467.78199999999998</v>
      </c>
      <c r="J139" s="98">
        <v>9.8250000000000011</v>
      </c>
      <c r="K139" s="98">
        <v>177.48400000000001</v>
      </c>
      <c r="L139" s="98">
        <v>86.109000000000009</v>
      </c>
      <c r="M139" s="98">
        <v>16.940000000000001</v>
      </c>
      <c r="N139" s="98">
        <v>290.358</v>
      </c>
      <c r="O139" s="98">
        <v>758.14</v>
      </c>
    </row>
    <row r="140" spans="1:15" ht="12.75" customHeight="1" x14ac:dyDescent="0.2">
      <c r="A140" s="153" t="s">
        <v>79</v>
      </c>
      <c r="B140" s="98">
        <v>200.11600000000001</v>
      </c>
      <c r="C140" s="98">
        <v>101.432</v>
      </c>
      <c r="D140" s="98">
        <v>54.591000000000001</v>
      </c>
      <c r="E140" s="98">
        <v>30.399000000000001</v>
      </c>
      <c r="F140" s="98">
        <v>31.28</v>
      </c>
      <c r="G140" s="98">
        <v>63.966000000000001</v>
      </c>
      <c r="H140" s="98">
        <v>7.53</v>
      </c>
      <c r="I140" s="98">
        <v>489.31400000000002</v>
      </c>
      <c r="J140" s="98">
        <v>10.755000000000001</v>
      </c>
      <c r="K140" s="98">
        <v>195.93600000000001</v>
      </c>
      <c r="L140" s="98">
        <v>106.054</v>
      </c>
      <c r="M140" s="98">
        <v>16.898</v>
      </c>
      <c r="N140" s="98">
        <v>329.64300000000003</v>
      </c>
      <c r="O140" s="98">
        <v>818.95699999999999</v>
      </c>
    </row>
    <row r="141" spans="1:15" ht="12.75" customHeight="1" x14ac:dyDescent="0.2">
      <c r="A141" s="153" t="s">
        <v>89</v>
      </c>
      <c r="B141" s="98">
        <v>190.108</v>
      </c>
      <c r="C141" s="98">
        <v>92.876999999999995</v>
      </c>
      <c r="D141" s="98">
        <v>55.006999999999998</v>
      </c>
      <c r="E141" s="98">
        <v>32.805</v>
      </c>
      <c r="F141" s="98">
        <v>37.241999999999997</v>
      </c>
      <c r="G141" s="98">
        <v>66.06</v>
      </c>
      <c r="H141" s="98">
        <v>7.0209999999999999</v>
      </c>
      <c r="I141" s="98">
        <v>481.12</v>
      </c>
      <c r="J141" s="98">
        <v>11.325000000000001</v>
      </c>
      <c r="K141" s="98">
        <v>201.244</v>
      </c>
      <c r="L141" s="98">
        <v>103.63800000000001</v>
      </c>
      <c r="M141" s="98">
        <v>17.163</v>
      </c>
      <c r="N141" s="98">
        <v>333.37</v>
      </c>
      <c r="O141" s="98">
        <v>814.49</v>
      </c>
    </row>
    <row r="142" spans="1:15" x14ac:dyDescent="0.2">
      <c r="A142" s="153" t="s">
        <v>127</v>
      </c>
      <c r="B142" s="98">
        <f t="shared" ref="B142:O142" si="29">B139+B140+B141</f>
        <v>585.05799999999999</v>
      </c>
      <c r="C142" s="98">
        <f t="shared" si="29"/>
        <v>289.233</v>
      </c>
      <c r="D142" s="98">
        <f t="shared" si="29"/>
        <v>161.113</v>
      </c>
      <c r="E142" s="98">
        <f t="shared" si="29"/>
        <v>94.44</v>
      </c>
      <c r="F142" s="98">
        <f t="shared" si="29"/>
        <v>99.781000000000006</v>
      </c>
      <c r="G142" s="98">
        <f t="shared" si="29"/>
        <v>187.04500000000002</v>
      </c>
      <c r="H142" s="98">
        <f t="shared" si="29"/>
        <v>21.545999999999999</v>
      </c>
      <c r="I142" s="98">
        <f t="shared" si="29"/>
        <v>1438.2159999999999</v>
      </c>
      <c r="J142" s="98">
        <f t="shared" si="29"/>
        <v>31.905000000000001</v>
      </c>
      <c r="K142" s="98">
        <f t="shared" si="29"/>
        <v>574.66399999999999</v>
      </c>
      <c r="L142" s="98">
        <f t="shared" si="29"/>
        <v>295.80100000000004</v>
      </c>
      <c r="M142" s="98">
        <f t="shared" si="29"/>
        <v>51.001000000000005</v>
      </c>
      <c r="N142" s="98">
        <f t="shared" si="29"/>
        <v>953.37099999999998</v>
      </c>
      <c r="O142" s="98">
        <f t="shared" si="29"/>
        <v>2391.587</v>
      </c>
    </row>
    <row r="143" spans="1:15" ht="12.75" customHeight="1" x14ac:dyDescent="0.2">
      <c r="A143" s="153" t="s">
        <v>90</v>
      </c>
      <c r="B143" s="98">
        <v>195.286</v>
      </c>
      <c r="C143" s="98">
        <v>92.548000000000002</v>
      </c>
      <c r="D143" s="98">
        <v>59.221000000000004</v>
      </c>
      <c r="E143" s="98">
        <v>32.118000000000002</v>
      </c>
      <c r="F143" s="98">
        <v>43.078000000000003</v>
      </c>
      <c r="G143" s="98">
        <v>59.222999999999999</v>
      </c>
      <c r="H143" s="98">
        <v>8.6639999999999997</v>
      </c>
      <c r="I143" s="98">
        <v>490.13800000000003</v>
      </c>
      <c r="J143" s="98">
        <v>11.467000000000001</v>
      </c>
      <c r="K143" s="98">
        <v>206.21100000000001</v>
      </c>
      <c r="L143" s="98">
        <v>105.354</v>
      </c>
      <c r="M143" s="98">
        <v>17.829000000000001</v>
      </c>
      <c r="N143" s="98">
        <v>340.86099999999999</v>
      </c>
      <c r="O143" s="98">
        <v>830.99900000000002</v>
      </c>
    </row>
    <row r="144" spans="1:15" ht="12.75" customHeight="1" x14ac:dyDescent="0.2">
      <c r="A144" s="153" t="s">
        <v>81</v>
      </c>
      <c r="B144" s="98">
        <v>189.20000000000002</v>
      </c>
      <c r="C144" s="98">
        <v>98.856000000000009</v>
      </c>
      <c r="D144" s="98">
        <v>54.323</v>
      </c>
      <c r="E144" s="98">
        <v>27.304000000000002</v>
      </c>
      <c r="F144" s="98">
        <v>38.42</v>
      </c>
      <c r="G144" s="98">
        <v>60.347999999999999</v>
      </c>
      <c r="H144" s="98">
        <v>9.4049999999999994</v>
      </c>
      <c r="I144" s="98">
        <v>477.85599999999999</v>
      </c>
      <c r="J144" s="98">
        <v>10.766</v>
      </c>
      <c r="K144" s="98">
        <v>195.69499999999999</v>
      </c>
      <c r="L144" s="98">
        <v>104.57900000000001</v>
      </c>
      <c r="M144" s="98">
        <v>18.931000000000001</v>
      </c>
      <c r="N144" s="98">
        <v>329.971</v>
      </c>
      <c r="O144" s="98">
        <v>807.827</v>
      </c>
    </row>
    <row r="145" spans="1:15" ht="12.75" customHeight="1" x14ac:dyDescent="0.2">
      <c r="A145" s="153" t="s">
        <v>82</v>
      </c>
      <c r="B145" s="98">
        <v>186.34399999999999</v>
      </c>
      <c r="C145" s="98">
        <v>96.954999999999998</v>
      </c>
      <c r="D145" s="98">
        <v>54.783999999999999</v>
      </c>
      <c r="E145" s="98">
        <v>27.331</v>
      </c>
      <c r="F145" s="98">
        <v>46.185000000000002</v>
      </c>
      <c r="G145" s="98">
        <v>58.173999999999999</v>
      </c>
      <c r="H145" s="98">
        <v>8.572000000000001</v>
      </c>
      <c r="I145" s="98">
        <v>478.34500000000003</v>
      </c>
      <c r="J145" s="98">
        <v>10.531000000000001</v>
      </c>
      <c r="K145" s="98">
        <v>204.649</v>
      </c>
      <c r="L145" s="98">
        <v>109.89700000000001</v>
      </c>
      <c r="M145" s="98">
        <v>15.809000000000001</v>
      </c>
      <c r="N145" s="98">
        <v>340.88600000000002</v>
      </c>
      <c r="O145" s="98">
        <v>819.23099999999999</v>
      </c>
    </row>
    <row r="146" spans="1:15" x14ac:dyDescent="0.2">
      <c r="A146" s="153" t="s">
        <v>128</v>
      </c>
      <c r="B146" s="98">
        <f t="shared" ref="B146:O146" si="30">B143+B144+B145</f>
        <v>570.82999999999993</v>
      </c>
      <c r="C146" s="98">
        <f t="shared" si="30"/>
        <v>288.35899999999998</v>
      </c>
      <c r="D146" s="98">
        <f t="shared" si="30"/>
        <v>168.328</v>
      </c>
      <c r="E146" s="98">
        <f t="shared" si="30"/>
        <v>86.753</v>
      </c>
      <c r="F146" s="98">
        <f t="shared" si="30"/>
        <v>127.68300000000001</v>
      </c>
      <c r="G146" s="98">
        <f t="shared" si="30"/>
        <v>177.745</v>
      </c>
      <c r="H146" s="98">
        <f t="shared" si="30"/>
        <v>26.640999999999998</v>
      </c>
      <c r="I146" s="98">
        <f t="shared" si="30"/>
        <v>1446.3389999999999</v>
      </c>
      <c r="J146" s="98">
        <f t="shared" si="30"/>
        <v>32.764000000000003</v>
      </c>
      <c r="K146" s="98">
        <f t="shared" si="30"/>
        <v>606.55500000000006</v>
      </c>
      <c r="L146" s="98">
        <f t="shared" si="30"/>
        <v>319.83</v>
      </c>
      <c r="M146" s="98">
        <f t="shared" si="30"/>
        <v>52.569000000000003</v>
      </c>
      <c r="N146" s="98">
        <f t="shared" si="30"/>
        <v>1011.7180000000001</v>
      </c>
      <c r="O146" s="98">
        <f t="shared" si="30"/>
        <v>2458.0569999999998</v>
      </c>
    </row>
    <row r="147" spans="1:15" ht="12.75" customHeight="1" x14ac:dyDescent="0.2">
      <c r="A147" s="153" t="s">
        <v>135</v>
      </c>
      <c r="B147" s="98">
        <v>207.65299999999999</v>
      </c>
      <c r="C147" s="98">
        <v>100.435</v>
      </c>
      <c r="D147" s="98">
        <v>51.718000000000004</v>
      </c>
      <c r="E147" s="98">
        <v>27.621000000000002</v>
      </c>
      <c r="F147" s="98">
        <v>39.222999999999999</v>
      </c>
      <c r="G147" s="98">
        <v>55.286000000000001</v>
      </c>
      <c r="H147" s="98">
        <v>8.4689999999999994</v>
      </c>
      <c r="I147" s="98">
        <v>490.40500000000003</v>
      </c>
      <c r="J147" s="98">
        <v>11.363</v>
      </c>
      <c r="K147" s="98">
        <v>200.05700000000002</v>
      </c>
      <c r="L147" s="98">
        <v>119.87700000000001</v>
      </c>
      <c r="M147" s="98">
        <v>14.44</v>
      </c>
      <c r="N147" s="98">
        <v>345.73700000000002</v>
      </c>
      <c r="O147" s="98">
        <v>836.14200000000005</v>
      </c>
    </row>
    <row r="148" spans="1:15" ht="12.75" customHeight="1" x14ac:dyDescent="0.2">
      <c r="A148" s="153" t="s">
        <v>148</v>
      </c>
      <c r="B148" s="98">
        <v>173.756</v>
      </c>
      <c r="C148" s="98">
        <v>87.179000000000002</v>
      </c>
      <c r="D148" s="98">
        <v>43.550000000000004</v>
      </c>
      <c r="E148" s="98">
        <v>24.150000000000002</v>
      </c>
      <c r="F148" s="98">
        <v>34.669000000000004</v>
      </c>
      <c r="G148" s="98">
        <v>51.036999999999999</v>
      </c>
      <c r="H148" s="98">
        <v>7.6379999999999999</v>
      </c>
      <c r="I148" s="98">
        <v>421.97899999999998</v>
      </c>
      <c r="J148" s="98">
        <v>10.727</v>
      </c>
      <c r="K148" s="98">
        <v>178.876</v>
      </c>
      <c r="L148" s="98">
        <v>112.5</v>
      </c>
      <c r="M148" s="98">
        <v>13.778</v>
      </c>
      <c r="N148" s="98">
        <v>315.88100000000003</v>
      </c>
      <c r="O148" s="98">
        <v>737.86</v>
      </c>
    </row>
    <row r="149" spans="1:15" ht="12.75" customHeight="1" x14ac:dyDescent="0.2">
      <c r="A149" s="153" t="s">
        <v>87</v>
      </c>
      <c r="B149" s="98">
        <v>169.768</v>
      </c>
      <c r="C149" s="98">
        <v>74.531999999999996</v>
      </c>
      <c r="D149" s="98">
        <v>41.243000000000002</v>
      </c>
      <c r="E149" s="98">
        <v>22.343</v>
      </c>
      <c r="F149" s="98">
        <v>29.701000000000001</v>
      </c>
      <c r="G149" s="98">
        <v>50.463999999999999</v>
      </c>
      <c r="H149" s="98">
        <v>6.5</v>
      </c>
      <c r="I149" s="98">
        <v>394.55099999999999</v>
      </c>
      <c r="J149" s="98">
        <v>10.185</v>
      </c>
      <c r="K149" s="98">
        <v>170.16499999999999</v>
      </c>
      <c r="L149" s="98">
        <v>102.52</v>
      </c>
      <c r="M149" s="98">
        <v>12.425000000000001</v>
      </c>
      <c r="N149" s="98">
        <v>295.29500000000002</v>
      </c>
      <c r="O149" s="98">
        <v>689.846</v>
      </c>
    </row>
    <row r="150" spans="1:15" x14ac:dyDescent="0.2">
      <c r="A150" s="153" t="s">
        <v>129</v>
      </c>
      <c r="B150" s="98">
        <f t="shared" ref="B150:O150" si="31">B147+B148+B149</f>
        <v>551.17700000000002</v>
      </c>
      <c r="C150" s="98">
        <f t="shared" si="31"/>
        <v>262.14600000000002</v>
      </c>
      <c r="D150" s="98">
        <f t="shared" si="31"/>
        <v>136.511</v>
      </c>
      <c r="E150" s="98">
        <f t="shared" si="31"/>
        <v>74.114000000000004</v>
      </c>
      <c r="F150" s="98">
        <f t="shared" si="31"/>
        <v>103.59299999999999</v>
      </c>
      <c r="G150" s="98">
        <f t="shared" si="31"/>
        <v>156.78700000000001</v>
      </c>
      <c r="H150" s="98">
        <f t="shared" si="31"/>
        <v>22.606999999999999</v>
      </c>
      <c r="I150" s="98">
        <f t="shared" si="31"/>
        <v>1306.9349999999999</v>
      </c>
      <c r="J150" s="98">
        <f t="shared" si="31"/>
        <v>32.274999999999999</v>
      </c>
      <c r="K150" s="98">
        <f t="shared" si="31"/>
        <v>549.09799999999996</v>
      </c>
      <c r="L150" s="98">
        <f t="shared" si="31"/>
        <v>334.89699999999999</v>
      </c>
      <c r="M150" s="98">
        <f t="shared" si="31"/>
        <v>40.643000000000001</v>
      </c>
      <c r="N150" s="98">
        <f t="shared" si="31"/>
        <v>956.91300000000001</v>
      </c>
      <c r="O150" s="98">
        <f t="shared" si="31"/>
        <v>2263.848</v>
      </c>
    </row>
    <row r="151" spans="1:15" x14ac:dyDescent="0.2">
      <c r="A151" s="86"/>
      <c r="B151" s="98"/>
      <c r="C151" s="98"/>
      <c r="D151" s="98"/>
      <c r="E151" s="98"/>
      <c r="F151" s="98"/>
      <c r="G151" s="98"/>
      <c r="H151" s="98"/>
      <c r="I151" s="98"/>
      <c r="J151" s="98"/>
      <c r="K151" s="98"/>
      <c r="L151" s="98"/>
      <c r="M151" s="98"/>
      <c r="N151" s="98"/>
      <c r="O151" s="98"/>
    </row>
    <row r="152" spans="1:15" x14ac:dyDescent="0.2">
      <c r="A152" s="86">
        <v>2009</v>
      </c>
      <c r="B152" s="98"/>
      <c r="C152" s="98"/>
      <c r="D152" s="98"/>
      <c r="E152" s="98"/>
      <c r="F152" s="98"/>
      <c r="G152" s="98"/>
      <c r="H152" s="98"/>
      <c r="I152" s="98"/>
      <c r="J152" s="98"/>
      <c r="K152" s="98"/>
      <c r="L152" s="98"/>
      <c r="M152" s="98"/>
      <c r="N152" s="98"/>
      <c r="O152" s="98"/>
    </row>
    <row r="153" spans="1:15" ht="12.75" customHeight="1" x14ac:dyDescent="0.2">
      <c r="A153" s="76" t="s">
        <v>74</v>
      </c>
      <c r="B153" s="98">
        <v>184.375</v>
      </c>
      <c r="C153" s="98">
        <v>86.123000000000005</v>
      </c>
      <c r="D153" s="98">
        <v>41.581000000000003</v>
      </c>
      <c r="E153" s="98">
        <v>24.581</v>
      </c>
      <c r="F153" s="98">
        <v>28.619</v>
      </c>
      <c r="G153" s="98">
        <v>40.625999999999998</v>
      </c>
      <c r="H153" s="98">
        <v>6.7320000000000002</v>
      </c>
      <c r="I153" s="98">
        <v>412.637</v>
      </c>
      <c r="J153" s="98">
        <v>7.9240000000000004</v>
      </c>
      <c r="K153" s="98">
        <v>159.6</v>
      </c>
      <c r="L153" s="98">
        <v>79.542000000000002</v>
      </c>
      <c r="M153" s="98">
        <v>12.632</v>
      </c>
      <c r="N153" s="98">
        <v>259.69799999999998</v>
      </c>
      <c r="O153" s="98">
        <v>672.33500000000004</v>
      </c>
    </row>
    <row r="154" spans="1:15" ht="12.75" customHeight="1" x14ac:dyDescent="0.2">
      <c r="A154" s="76" t="s">
        <v>140</v>
      </c>
      <c r="B154" s="98">
        <v>162.09299999999999</v>
      </c>
      <c r="C154" s="98">
        <v>76.418000000000006</v>
      </c>
      <c r="D154" s="98">
        <v>39.877000000000002</v>
      </c>
      <c r="E154" s="98">
        <v>23.524000000000001</v>
      </c>
      <c r="F154" s="98">
        <v>25.809000000000001</v>
      </c>
      <c r="G154" s="98">
        <v>41.323999999999998</v>
      </c>
      <c r="H154" s="98">
        <v>6.8180000000000005</v>
      </c>
      <c r="I154" s="98">
        <v>375.863</v>
      </c>
      <c r="J154" s="98">
        <v>9.0939999999999994</v>
      </c>
      <c r="K154" s="98">
        <v>163.06700000000001</v>
      </c>
      <c r="L154" s="98">
        <v>79.635999999999996</v>
      </c>
      <c r="M154" s="98">
        <v>9.9870000000000001</v>
      </c>
      <c r="N154" s="98">
        <v>261.78399999999999</v>
      </c>
      <c r="O154" s="98">
        <v>637.64700000000005</v>
      </c>
    </row>
    <row r="155" spans="1:15" ht="12.75" customHeight="1" x14ac:dyDescent="0.2">
      <c r="A155" s="76" t="s">
        <v>76</v>
      </c>
      <c r="B155" s="98">
        <v>194.881</v>
      </c>
      <c r="C155" s="98">
        <v>87.858000000000004</v>
      </c>
      <c r="D155" s="98">
        <v>49.314999999999998</v>
      </c>
      <c r="E155" s="98">
        <v>31.358000000000001</v>
      </c>
      <c r="F155" s="98">
        <v>34.137999999999998</v>
      </c>
      <c r="G155" s="98">
        <v>49.054000000000002</v>
      </c>
      <c r="H155" s="98">
        <v>6.6349999999999998</v>
      </c>
      <c r="I155" s="98">
        <v>453.23900000000003</v>
      </c>
      <c r="J155" s="98">
        <v>10.819000000000001</v>
      </c>
      <c r="K155" s="98">
        <v>193.63499999999999</v>
      </c>
      <c r="L155" s="98">
        <v>100.46900000000001</v>
      </c>
      <c r="M155" s="98">
        <v>12.474</v>
      </c>
      <c r="N155" s="98">
        <v>317.39699999999999</v>
      </c>
      <c r="O155" s="98">
        <v>770.63599999999997</v>
      </c>
    </row>
    <row r="156" spans="1:15" x14ac:dyDescent="0.2">
      <c r="A156" s="86" t="s">
        <v>126</v>
      </c>
      <c r="B156" s="98">
        <f t="shared" ref="B156:O156" si="32">B153+B154+B155</f>
        <v>541.34899999999993</v>
      </c>
      <c r="C156" s="98">
        <f t="shared" si="32"/>
        <v>250.399</v>
      </c>
      <c r="D156" s="98">
        <f t="shared" si="32"/>
        <v>130.773</v>
      </c>
      <c r="E156" s="98">
        <f t="shared" si="32"/>
        <v>79.463000000000008</v>
      </c>
      <c r="F156" s="98">
        <f t="shared" si="32"/>
        <v>88.566000000000003</v>
      </c>
      <c r="G156" s="98">
        <f t="shared" si="32"/>
        <v>131.00399999999999</v>
      </c>
      <c r="H156" s="98">
        <f t="shared" si="32"/>
        <v>20.185000000000002</v>
      </c>
      <c r="I156" s="98">
        <f t="shared" si="32"/>
        <v>1241.739</v>
      </c>
      <c r="J156" s="98">
        <f t="shared" si="32"/>
        <v>27.837000000000003</v>
      </c>
      <c r="K156" s="98">
        <f t="shared" si="32"/>
        <v>516.30200000000002</v>
      </c>
      <c r="L156" s="98">
        <f t="shared" si="32"/>
        <v>259.64699999999999</v>
      </c>
      <c r="M156" s="98">
        <f t="shared" si="32"/>
        <v>35.093000000000004</v>
      </c>
      <c r="N156" s="98">
        <f t="shared" si="32"/>
        <v>838.87899999999991</v>
      </c>
      <c r="O156" s="98">
        <f t="shared" si="32"/>
        <v>2080.6179999999999</v>
      </c>
    </row>
    <row r="157" spans="1:15" ht="12.75" customHeight="1" x14ac:dyDescent="0.2">
      <c r="A157" s="76" t="s">
        <v>78</v>
      </c>
      <c r="B157" s="98">
        <v>181.768</v>
      </c>
      <c r="C157" s="98">
        <v>85.84</v>
      </c>
      <c r="D157" s="98">
        <v>49.495000000000005</v>
      </c>
      <c r="E157" s="98">
        <v>29.403000000000002</v>
      </c>
      <c r="F157" s="98">
        <v>32.509</v>
      </c>
      <c r="G157" s="98">
        <v>44.197000000000003</v>
      </c>
      <c r="H157" s="98">
        <v>6.6379999999999999</v>
      </c>
      <c r="I157" s="98">
        <v>429.85</v>
      </c>
      <c r="J157" s="98">
        <v>10.419</v>
      </c>
      <c r="K157" s="98">
        <v>184.958</v>
      </c>
      <c r="L157" s="98">
        <v>93.703000000000003</v>
      </c>
      <c r="M157" s="98">
        <v>10.857000000000001</v>
      </c>
      <c r="N157" s="98">
        <v>299.93700000000001</v>
      </c>
      <c r="O157" s="98">
        <v>729.78700000000003</v>
      </c>
    </row>
    <row r="158" spans="1:15" ht="12.75" customHeight="1" x14ac:dyDescent="0.2">
      <c r="A158" s="153" t="s">
        <v>79</v>
      </c>
      <c r="B158" s="98">
        <v>187.958</v>
      </c>
      <c r="C158" s="98">
        <v>91.748000000000005</v>
      </c>
      <c r="D158" s="98">
        <v>51.81</v>
      </c>
      <c r="E158" s="98">
        <v>28.690999999999999</v>
      </c>
      <c r="F158" s="98">
        <v>30.43</v>
      </c>
      <c r="G158" s="98">
        <v>46.767000000000003</v>
      </c>
      <c r="H158" s="98">
        <v>6.5750000000000002</v>
      </c>
      <c r="I158" s="98">
        <v>443.97899999999998</v>
      </c>
      <c r="J158" s="98">
        <v>10.748000000000001</v>
      </c>
      <c r="K158" s="98">
        <v>188.62700000000001</v>
      </c>
      <c r="L158" s="98">
        <v>94.364000000000004</v>
      </c>
      <c r="M158" s="98">
        <v>11.305</v>
      </c>
      <c r="N158" s="98">
        <v>305.04399999999998</v>
      </c>
      <c r="O158" s="98">
        <v>749.02300000000002</v>
      </c>
    </row>
    <row r="159" spans="1:15" ht="12.75" customHeight="1" x14ac:dyDescent="0.2">
      <c r="A159" s="153" t="s">
        <v>89</v>
      </c>
      <c r="B159" s="98">
        <v>191.16900000000001</v>
      </c>
      <c r="C159" s="98">
        <v>99.182000000000002</v>
      </c>
      <c r="D159" s="98">
        <v>53.722000000000001</v>
      </c>
      <c r="E159" s="98">
        <v>28.431000000000001</v>
      </c>
      <c r="F159" s="98">
        <v>38.93</v>
      </c>
      <c r="G159" s="98">
        <v>50.445</v>
      </c>
      <c r="H159" s="98">
        <v>6.4</v>
      </c>
      <c r="I159" s="98">
        <v>468.279</v>
      </c>
      <c r="J159" s="98">
        <v>11.378</v>
      </c>
      <c r="K159" s="98">
        <v>204.61500000000001</v>
      </c>
      <c r="L159" s="98">
        <v>102.752</v>
      </c>
      <c r="M159" s="98">
        <v>12.471</v>
      </c>
      <c r="N159" s="98">
        <v>331.21600000000001</v>
      </c>
      <c r="O159" s="98">
        <v>799.495</v>
      </c>
    </row>
    <row r="160" spans="1:15" x14ac:dyDescent="0.2">
      <c r="A160" s="153" t="s">
        <v>127</v>
      </c>
      <c r="B160" s="98">
        <f t="shared" ref="B160:O160" si="33">B157+B158+B159</f>
        <v>560.89499999999998</v>
      </c>
      <c r="C160" s="98">
        <f t="shared" si="33"/>
        <v>276.77000000000004</v>
      </c>
      <c r="D160" s="98">
        <f t="shared" si="33"/>
        <v>155.02700000000002</v>
      </c>
      <c r="E160" s="98">
        <f t="shared" si="33"/>
        <v>86.525000000000006</v>
      </c>
      <c r="F160" s="98">
        <f t="shared" si="33"/>
        <v>101.869</v>
      </c>
      <c r="G160" s="98">
        <f t="shared" si="33"/>
        <v>141.40899999999999</v>
      </c>
      <c r="H160" s="98">
        <f t="shared" si="33"/>
        <v>19.613</v>
      </c>
      <c r="I160" s="98">
        <f t="shared" si="33"/>
        <v>1342.1079999999999</v>
      </c>
      <c r="J160" s="98">
        <f t="shared" si="33"/>
        <v>32.545000000000002</v>
      </c>
      <c r="K160" s="98">
        <f t="shared" si="33"/>
        <v>578.20000000000005</v>
      </c>
      <c r="L160" s="98">
        <f t="shared" si="33"/>
        <v>290.81900000000002</v>
      </c>
      <c r="M160" s="98">
        <f t="shared" si="33"/>
        <v>34.632999999999996</v>
      </c>
      <c r="N160" s="98">
        <f t="shared" si="33"/>
        <v>936.197</v>
      </c>
      <c r="O160" s="98">
        <f t="shared" si="33"/>
        <v>2278.3049999999998</v>
      </c>
    </row>
    <row r="161" spans="1:15" ht="12.75" customHeight="1" x14ac:dyDescent="0.2">
      <c r="A161" s="153" t="s">
        <v>90</v>
      </c>
      <c r="B161" s="98">
        <v>197.61</v>
      </c>
      <c r="C161" s="98">
        <v>99.930999999999997</v>
      </c>
      <c r="D161" s="98">
        <v>51.956000000000003</v>
      </c>
      <c r="E161" s="98">
        <v>26.581</v>
      </c>
      <c r="F161" s="98">
        <v>44.609000000000002</v>
      </c>
      <c r="G161" s="98">
        <v>49.831000000000003</v>
      </c>
      <c r="H161" s="98">
        <v>6.673</v>
      </c>
      <c r="I161" s="98">
        <v>477.19100000000003</v>
      </c>
      <c r="J161" s="98">
        <v>12.129</v>
      </c>
      <c r="K161" s="98">
        <v>198.39099999999999</v>
      </c>
      <c r="L161" s="98">
        <v>110.93600000000001</v>
      </c>
      <c r="M161" s="98">
        <v>16.466000000000001</v>
      </c>
      <c r="N161" s="98">
        <v>337.92200000000003</v>
      </c>
      <c r="O161" s="98">
        <v>815.11300000000006</v>
      </c>
    </row>
    <row r="162" spans="1:15" ht="12.75" customHeight="1" x14ac:dyDescent="0.2">
      <c r="A162" s="153" t="s">
        <v>81</v>
      </c>
      <c r="B162" s="98">
        <v>205.09700000000001</v>
      </c>
      <c r="C162" s="98">
        <v>107.80800000000001</v>
      </c>
      <c r="D162" s="98">
        <v>50.733000000000004</v>
      </c>
      <c r="E162" s="98">
        <v>26.698</v>
      </c>
      <c r="F162" s="98">
        <v>46.072000000000003</v>
      </c>
      <c r="G162" s="98">
        <v>49.545999999999999</v>
      </c>
      <c r="H162" s="98">
        <v>6.7549999999999999</v>
      </c>
      <c r="I162" s="98">
        <v>492.709</v>
      </c>
      <c r="J162" s="98">
        <v>11.85</v>
      </c>
      <c r="K162" s="98">
        <v>218.602</v>
      </c>
      <c r="L162" s="98">
        <v>110.559</v>
      </c>
      <c r="M162" s="98">
        <v>14.86</v>
      </c>
      <c r="N162" s="98">
        <v>355.87099999999998</v>
      </c>
      <c r="O162" s="98">
        <v>848.58</v>
      </c>
    </row>
    <row r="163" spans="1:15" ht="12.75" customHeight="1" x14ac:dyDescent="0.2">
      <c r="A163" s="153" t="s">
        <v>82</v>
      </c>
      <c r="B163" s="98">
        <v>220.63400000000001</v>
      </c>
      <c r="C163" s="98">
        <v>95.811999999999998</v>
      </c>
      <c r="D163" s="98">
        <v>49.612000000000002</v>
      </c>
      <c r="E163" s="98">
        <v>39.048000000000002</v>
      </c>
      <c r="F163" s="98">
        <v>42.521999999999998</v>
      </c>
      <c r="G163" s="98">
        <v>48.222999999999999</v>
      </c>
      <c r="H163" s="98">
        <v>7.4779999999999998</v>
      </c>
      <c r="I163" s="98">
        <v>503.32900000000001</v>
      </c>
      <c r="J163" s="98">
        <v>11.499000000000001</v>
      </c>
      <c r="K163" s="98">
        <v>233.102</v>
      </c>
      <c r="L163" s="98">
        <v>126.12</v>
      </c>
      <c r="M163" s="98">
        <v>28.086000000000002</v>
      </c>
      <c r="N163" s="98">
        <v>398.80700000000002</v>
      </c>
      <c r="O163" s="98">
        <v>902.13599999999997</v>
      </c>
    </row>
    <row r="164" spans="1:15" x14ac:dyDescent="0.2">
      <c r="A164" s="153" t="s">
        <v>128</v>
      </c>
      <c r="B164" s="98">
        <f t="shared" ref="B164:O164" si="34">B161+B162+B163</f>
        <v>623.34100000000001</v>
      </c>
      <c r="C164" s="98">
        <f t="shared" si="34"/>
        <v>303.55099999999999</v>
      </c>
      <c r="D164" s="98">
        <f t="shared" si="34"/>
        <v>152.30100000000002</v>
      </c>
      <c r="E164" s="98">
        <f t="shared" si="34"/>
        <v>92.326999999999998</v>
      </c>
      <c r="F164" s="98">
        <f t="shared" si="34"/>
        <v>133.203</v>
      </c>
      <c r="G164" s="98">
        <f t="shared" si="34"/>
        <v>147.60000000000002</v>
      </c>
      <c r="H164" s="98">
        <f t="shared" si="34"/>
        <v>20.905999999999999</v>
      </c>
      <c r="I164" s="98">
        <f t="shared" si="34"/>
        <v>1473.229</v>
      </c>
      <c r="J164" s="98">
        <f t="shared" si="34"/>
        <v>35.478000000000002</v>
      </c>
      <c r="K164" s="98">
        <f t="shared" si="34"/>
        <v>650.09500000000003</v>
      </c>
      <c r="L164" s="98">
        <f t="shared" si="34"/>
        <v>347.61500000000001</v>
      </c>
      <c r="M164" s="98">
        <f t="shared" si="34"/>
        <v>59.412000000000006</v>
      </c>
      <c r="N164" s="98">
        <f t="shared" si="34"/>
        <v>1092.5999999999999</v>
      </c>
      <c r="O164" s="98">
        <f t="shared" si="34"/>
        <v>2565.8290000000002</v>
      </c>
    </row>
    <row r="165" spans="1:15" ht="12.75" customHeight="1" x14ac:dyDescent="0.2">
      <c r="A165" s="153" t="s">
        <v>135</v>
      </c>
      <c r="B165" s="98">
        <v>210.792</v>
      </c>
      <c r="C165" s="98">
        <v>100.10000000000001</v>
      </c>
      <c r="D165" s="98">
        <v>55.703000000000003</v>
      </c>
      <c r="E165" s="98">
        <v>30.603999999999999</v>
      </c>
      <c r="F165" s="98">
        <v>38.036000000000001</v>
      </c>
      <c r="G165" s="98">
        <v>53.619</v>
      </c>
      <c r="H165" s="98">
        <v>7.8220000000000001</v>
      </c>
      <c r="I165" s="98">
        <v>496.67599999999999</v>
      </c>
      <c r="J165" s="98">
        <v>11.407</v>
      </c>
      <c r="K165" s="98">
        <v>222.054</v>
      </c>
      <c r="L165" s="98">
        <v>124.943</v>
      </c>
      <c r="M165" s="98">
        <v>21.164000000000001</v>
      </c>
      <c r="N165" s="98">
        <v>379.56799999999998</v>
      </c>
      <c r="O165" s="98">
        <v>876.24400000000003</v>
      </c>
    </row>
    <row r="166" spans="1:15" ht="12.75" customHeight="1" x14ac:dyDescent="0.2">
      <c r="A166" s="153" t="s">
        <v>148</v>
      </c>
      <c r="B166" s="98">
        <v>180.76</v>
      </c>
      <c r="C166" s="98">
        <v>89.998000000000005</v>
      </c>
      <c r="D166" s="98">
        <v>47.898000000000003</v>
      </c>
      <c r="E166" s="98">
        <v>30.317</v>
      </c>
      <c r="F166" s="98">
        <v>32.082999999999998</v>
      </c>
      <c r="G166" s="98">
        <v>52.759</v>
      </c>
      <c r="H166" s="98">
        <v>7.3220000000000001</v>
      </c>
      <c r="I166" s="98">
        <v>441.137</v>
      </c>
      <c r="J166" s="98">
        <v>10.627000000000001</v>
      </c>
      <c r="K166" s="98">
        <v>208.566</v>
      </c>
      <c r="L166" s="98">
        <v>122.429</v>
      </c>
      <c r="M166" s="98">
        <v>14.088000000000001</v>
      </c>
      <c r="N166" s="98">
        <v>355.71</v>
      </c>
      <c r="O166" s="98">
        <v>796.84699999999998</v>
      </c>
    </row>
    <row r="167" spans="1:15" ht="12.75" customHeight="1" x14ac:dyDescent="0.2">
      <c r="A167" s="153" t="s">
        <v>87</v>
      </c>
      <c r="B167" s="98">
        <v>168.55100000000002</v>
      </c>
      <c r="C167" s="98">
        <v>64.296999999999997</v>
      </c>
      <c r="D167" s="98">
        <v>45.058999999999997</v>
      </c>
      <c r="E167" s="98">
        <v>31.891000000000002</v>
      </c>
      <c r="F167" s="98">
        <v>32.966999999999999</v>
      </c>
      <c r="G167" s="98">
        <v>46.798999999999999</v>
      </c>
      <c r="H167" s="98">
        <v>8.2919999999999998</v>
      </c>
      <c r="I167" s="98">
        <v>397.85599999999999</v>
      </c>
      <c r="J167" s="98">
        <v>9.386000000000001</v>
      </c>
      <c r="K167" s="98">
        <v>184.94499999999999</v>
      </c>
      <c r="L167" s="98">
        <v>95.789000000000001</v>
      </c>
      <c r="M167" s="98">
        <v>13.998000000000001</v>
      </c>
      <c r="N167" s="98">
        <v>304.11799999999999</v>
      </c>
      <c r="O167" s="98">
        <v>701.97400000000005</v>
      </c>
    </row>
    <row r="168" spans="1:15" x14ac:dyDescent="0.2">
      <c r="A168" s="153" t="s">
        <v>129</v>
      </c>
      <c r="B168" s="98">
        <f t="shared" ref="B168:O168" si="35">B165+B166+B167</f>
        <v>560.10300000000007</v>
      </c>
      <c r="C168" s="98">
        <f t="shared" si="35"/>
        <v>254.39500000000001</v>
      </c>
      <c r="D168" s="98">
        <f t="shared" si="35"/>
        <v>148.66</v>
      </c>
      <c r="E168" s="98">
        <f t="shared" si="35"/>
        <v>92.811999999999998</v>
      </c>
      <c r="F168" s="98">
        <f t="shared" si="35"/>
        <v>103.086</v>
      </c>
      <c r="G168" s="98">
        <f t="shared" si="35"/>
        <v>153.17699999999999</v>
      </c>
      <c r="H168" s="98">
        <f t="shared" si="35"/>
        <v>23.436</v>
      </c>
      <c r="I168" s="98">
        <f t="shared" si="35"/>
        <v>1335.6689999999999</v>
      </c>
      <c r="J168" s="98">
        <f t="shared" si="35"/>
        <v>31.42</v>
      </c>
      <c r="K168" s="98">
        <f t="shared" si="35"/>
        <v>615.56500000000005</v>
      </c>
      <c r="L168" s="98">
        <f t="shared" si="35"/>
        <v>343.161</v>
      </c>
      <c r="M168" s="98">
        <f t="shared" si="35"/>
        <v>49.25</v>
      </c>
      <c r="N168" s="98">
        <f t="shared" si="35"/>
        <v>1039.396</v>
      </c>
      <c r="O168" s="98">
        <f t="shared" si="35"/>
        <v>2375.0650000000001</v>
      </c>
    </row>
    <row r="169" spans="1:15" x14ac:dyDescent="0.2">
      <c r="A169" s="86">
        <v>2010</v>
      </c>
      <c r="B169" s="98"/>
      <c r="C169" s="98"/>
      <c r="D169" s="98"/>
      <c r="E169" s="98"/>
      <c r="F169" s="98"/>
      <c r="G169" s="98"/>
      <c r="H169" s="98"/>
      <c r="I169" s="98"/>
      <c r="J169" s="98"/>
      <c r="K169" s="98"/>
      <c r="L169" s="98"/>
      <c r="M169" s="98"/>
      <c r="N169" s="98"/>
      <c r="O169" s="98"/>
    </row>
    <row r="170" spans="1:15" ht="12.75" customHeight="1" x14ac:dyDescent="0.2">
      <c r="A170" s="76" t="s">
        <v>74</v>
      </c>
      <c r="B170" s="98">
        <v>191.339</v>
      </c>
      <c r="C170" s="98">
        <v>82.641000000000005</v>
      </c>
      <c r="D170" s="98">
        <v>42.667999999999999</v>
      </c>
      <c r="E170" s="98">
        <v>30.807000000000002</v>
      </c>
      <c r="F170" s="98">
        <v>29.292000000000002</v>
      </c>
      <c r="G170" s="98">
        <v>46.033000000000001</v>
      </c>
      <c r="H170" s="98">
        <v>7.7190000000000003</v>
      </c>
      <c r="I170" s="98">
        <v>430.49900000000002</v>
      </c>
      <c r="J170" s="98">
        <v>8.0030000000000001</v>
      </c>
      <c r="K170" s="98">
        <v>172.279</v>
      </c>
      <c r="L170" s="98">
        <v>74.165000000000006</v>
      </c>
      <c r="M170" s="98">
        <v>16.420000000000002</v>
      </c>
      <c r="N170" s="98">
        <v>270.86700000000002</v>
      </c>
      <c r="O170" s="98">
        <v>701.36599999999999</v>
      </c>
    </row>
    <row r="171" spans="1:15" ht="12.75" customHeight="1" x14ac:dyDescent="0.2">
      <c r="A171" s="76" t="s">
        <v>140</v>
      </c>
      <c r="B171" s="98">
        <v>190.08199999999999</v>
      </c>
      <c r="C171" s="98">
        <v>84.269000000000005</v>
      </c>
      <c r="D171" s="98">
        <v>47.488</v>
      </c>
      <c r="E171" s="98">
        <v>31.382000000000001</v>
      </c>
      <c r="F171" s="98">
        <v>28.323</v>
      </c>
      <c r="G171" s="98">
        <v>46.375</v>
      </c>
      <c r="H171" s="98">
        <v>6.1930000000000005</v>
      </c>
      <c r="I171" s="98">
        <v>434.11200000000002</v>
      </c>
      <c r="J171" s="98">
        <v>8.3030000000000008</v>
      </c>
      <c r="K171" s="98">
        <v>187.21100000000001</v>
      </c>
      <c r="L171" s="98">
        <v>85.891999999999996</v>
      </c>
      <c r="M171" s="98">
        <v>15.878</v>
      </c>
      <c r="N171" s="98">
        <v>297.28399999999999</v>
      </c>
      <c r="O171" s="98">
        <v>731.39600000000007</v>
      </c>
    </row>
    <row r="172" spans="1:15" ht="12.75" customHeight="1" x14ac:dyDescent="0.2">
      <c r="A172" s="76" t="s">
        <v>76</v>
      </c>
      <c r="B172" s="98">
        <v>221.22400000000002</v>
      </c>
      <c r="C172" s="98">
        <v>103.05</v>
      </c>
      <c r="D172" s="98">
        <v>57.052</v>
      </c>
      <c r="E172" s="98">
        <v>42.698</v>
      </c>
      <c r="F172" s="98">
        <v>36.866999999999997</v>
      </c>
      <c r="G172" s="98">
        <v>57.774000000000001</v>
      </c>
      <c r="H172" s="98">
        <v>8.8710000000000004</v>
      </c>
      <c r="I172" s="98">
        <v>527.53600000000006</v>
      </c>
      <c r="J172" s="98">
        <v>10.294</v>
      </c>
      <c r="K172" s="98">
        <v>211.52700000000002</v>
      </c>
      <c r="L172" s="98">
        <v>101.98100000000001</v>
      </c>
      <c r="M172" s="98">
        <v>17.655999999999999</v>
      </c>
      <c r="N172" s="98">
        <v>341.45800000000003</v>
      </c>
      <c r="O172" s="98">
        <v>868.99400000000003</v>
      </c>
    </row>
    <row r="173" spans="1:15" x14ac:dyDescent="0.2">
      <c r="A173" s="86" t="s">
        <v>126</v>
      </c>
      <c r="B173" s="98">
        <f t="shared" ref="B173:O173" si="36">B170+B171+B172</f>
        <v>602.64499999999998</v>
      </c>
      <c r="C173" s="98">
        <f t="shared" si="36"/>
        <v>269.96000000000004</v>
      </c>
      <c r="D173" s="98">
        <f t="shared" si="36"/>
        <v>147.208</v>
      </c>
      <c r="E173" s="98">
        <f t="shared" si="36"/>
        <v>104.887</v>
      </c>
      <c r="F173" s="98">
        <f t="shared" si="36"/>
        <v>94.481999999999999</v>
      </c>
      <c r="G173" s="98">
        <f t="shared" si="36"/>
        <v>150.18200000000002</v>
      </c>
      <c r="H173" s="98">
        <f t="shared" si="36"/>
        <v>22.783000000000001</v>
      </c>
      <c r="I173" s="98">
        <f t="shared" si="36"/>
        <v>1392.1470000000002</v>
      </c>
      <c r="J173" s="98">
        <f t="shared" si="36"/>
        <v>26.6</v>
      </c>
      <c r="K173" s="98">
        <f t="shared" si="36"/>
        <v>571.01700000000005</v>
      </c>
      <c r="L173" s="98">
        <f t="shared" si="36"/>
        <v>262.03800000000001</v>
      </c>
      <c r="M173" s="98">
        <f t="shared" si="36"/>
        <v>49.954000000000001</v>
      </c>
      <c r="N173" s="98">
        <f t="shared" si="36"/>
        <v>909.60900000000015</v>
      </c>
      <c r="O173" s="98">
        <f t="shared" si="36"/>
        <v>2301.7560000000003</v>
      </c>
    </row>
    <row r="174" spans="1:15" ht="12.75" customHeight="1" x14ac:dyDescent="0.2">
      <c r="A174" s="76" t="s">
        <v>78</v>
      </c>
      <c r="B174" s="98">
        <v>205.322</v>
      </c>
      <c r="C174" s="98">
        <v>84.254999999999995</v>
      </c>
      <c r="D174" s="98">
        <v>50.611000000000004</v>
      </c>
      <c r="E174" s="98">
        <v>38.895000000000003</v>
      </c>
      <c r="F174" s="98">
        <v>35.012999999999998</v>
      </c>
      <c r="G174" s="98">
        <v>46.486000000000004</v>
      </c>
      <c r="H174" s="98">
        <v>13.114000000000001</v>
      </c>
      <c r="I174" s="98">
        <v>473.69600000000003</v>
      </c>
      <c r="J174" s="98">
        <v>9.6929999999999996</v>
      </c>
      <c r="K174" s="98">
        <v>194.82400000000001</v>
      </c>
      <c r="L174" s="98">
        <v>85.701000000000008</v>
      </c>
      <c r="M174" s="98">
        <v>15.686</v>
      </c>
      <c r="N174" s="98">
        <v>305.904</v>
      </c>
      <c r="O174" s="98">
        <v>779.6</v>
      </c>
    </row>
    <row r="175" spans="1:15" ht="12.75" customHeight="1" x14ac:dyDescent="0.2">
      <c r="A175" s="153" t="s">
        <v>79</v>
      </c>
      <c r="B175" s="98">
        <v>198.90299999999999</v>
      </c>
      <c r="C175" s="98">
        <v>89.953000000000003</v>
      </c>
      <c r="D175" s="98">
        <v>51.085000000000001</v>
      </c>
      <c r="E175" s="98">
        <v>41.365000000000002</v>
      </c>
      <c r="F175" s="98">
        <v>33.170999999999999</v>
      </c>
      <c r="G175" s="98">
        <v>51.258000000000003</v>
      </c>
      <c r="H175" s="98">
        <v>6.9210000000000003</v>
      </c>
      <c r="I175" s="98">
        <v>472.65600000000001</v>
      </c>
      <c r="J175" s="98">
        <v>10.732000000000001</v>
      </c>
      <c r="K175" s="98">
        <v>211.33100000000002</v>
      </c>
      <c r="L175" s="98">
        <v>99.716000000000008</v>
      </c>
      <c r="M175" s="98">
        <v>18.364000000000001</v>
      </c>
      <c r="N175" s="98">
        <v>340.14300000000003</v>
      </c>
      <c r="O175" s="98">
        <v>812.79899999999998</v>
      </c>
    </row>
    <row r="176" spans="1:15" ht="12.75" customHeight="1" x14ac:dyDescent="0.2">
      <c r="A176" s="153" t="s">
        <v>89</v>
      </c>
      <c r="B176" s="98">
        <v>204.67099999999999</v>
      </c>
      <c r="C176" s="98">
        <v>88.597999999999999</v>
      </c>
      <c r="D176" s="98">
        <v>52.917000000000002</v>
      </c>
      <c r="E176" s="98">
        <v>31.38</v>
      </c>
      <c r="F176" s="98">
        <v>33.183999999999997</v>
      </c>
      <c r="G176" s="98">
        <v>49.5</v>
      </c>
      <c r="H176" s="98">
        <v>9.8320000000000007</v>
      </c>
      <c r="I176" s="98">
        <v>470.08199999999999</v>
      </c>
      <c r="J176" s="98">
        <v>12.113</v>
      </c>
      <c r="K176" s="98">
        <v>214.11700000000002</v>
      </c>
      <c r="L176" s="98">
        <v>119.47500000000001</v>
      </c>
      <c r="M176" s="98">
        <v>19.193000000000001</v>
      </c>
      <c r="N176" s="98">
        <v>364.89800000000002</v>
      </c>
      <c r="O176" s="98">
        <v>834.98</v>
      </c>
    </row>
    <row r="177" spans="1:15" x14ac:dyDescent="0.2">
      <c r="A177" s="153" t="s">
        <v>127</v>
      </c>
      <c r="B177" s="98">
        <f t="shared" ref="B177:O177" si="37">B174+B175+B176</f>
        <v>608.89599999999996</v>
      </c>
      <c r="C177" s="98">
        <f t="shared" si="37"/>
        <v>262.80599999999998</v>
      </c>
      <c r="D177" s="98">
        <f t="shared" si="37"/>
        <v>154.613</v>
      </c>
      <c r="E177" s="98">
        <f t="shared" si="37"/>
        <v>111.64</v>
      </c>
      <c r="F177" s="98">
        <f t="shared" si="37"/>
        <v>101.36799999999999</v>
      </c>
      <c r="G177" s="98">
        <f t="shared" si="37"/>
        <v>147.244</v>
      </c>
      <c r="H177" s="98">
        <f t="shared" si="37"/>
        <v>29.867000000000001</v>
      </c>
      <c r="I177" s="98">
        <f t="shared" si="37"/>
        <v>1416.4340000000002</v>
      </c>
      <c r="J177" s="98">
        <f t="shared" si="37"/>
        <v>32.537999999999997</v>
      </c>
      <c r="K177" s="98">
        <f t="shared" si="37"/>
        <v>620.27200000000005</v>
      </c>
      <c r="L177" s="98">
        <f t="shared" si="37"/>
        <v>304.89200000000005</v>
      </c>
      <c r="M177" s="98">
        <f t="shared" si="37"/>
        <v>53.242999999999995</v>
      </c>
      <c r="N177" s="98">
        <f t="shared" si="37"/>
        <v>1010.9450000000001</v>
      </c>
      <c r="O177" s="98">
        <f t="shared" si="37"/>
        <v>2427.3789999999999</v>
      </c>
    </row>
    <row r="178" spans="1:15" ht="12.75" customHeight="1" x14ac:dyDescent="0.2">
      <c r="A178" s="153" t="s">
        <v>90</v>
      </c>
      <c r="B178" s="98">
        <v>198.255</v>
      </c>
      <c r="C178" s="98">
        <v>92.016999999999996</v>
      </c>
      <c r="D178" s="98">
        <v>53.892000000000003</v>
      </c>
      <c r="E178" s="98">
        <v>35.247999999999998</v>
      </c>
      <c r="F178" s="98">
        <v>29.182000000000002</v>
      </c>
      <c r="G178" s="98">
        <v>49.779000000000003</v>
      </c>
      <c r="H178" s="98">
        <v>9.5449999999999999</v>
      </c>
      <c r="I178" s="98">
        <v>467.91800000000001</v>
      </c>
      <c r="J178" s="98">
        <v>11.839</v>
      </c>
      <c r="K178" s="98">
        <v>210.864</v>
      </c>
      <c r="L178" s="98">
        <v>109.501</v>
      </c>
      <c r="M178" s="98">
        <v>19.295000000000002</v>
      </c>
      <c r="N178" s="98">
        <v>351.49900000000002</v>
      </c>
      <c r="O178" s="98">
        <v>819.41700000000003</v>
      </c>
    </row>
    <row r="179" spans="1:15" ht="12.75" customHeight="1" x14ac:dyDescent="0.2">
      <c r="A179" s="153" t="s">
        <v>81</v>
      </c>
      <c r="B179" s="98">
        <v>212.821</v>
      </c>
      <c r="C179" s="98">
        <v>93.569000000000003</v>
      </c>
      <c r="D179" s="98">
        <v>48.435000000000002</v>
      </c>
      <c r="E179" s="98">
        <v>36.53</v>
      </c>
      <c r="F179" s="98">
        <v>34.097000000000001</v>
      </c>
      <c r="G179" s="98">
        <v>47.279000000000003</v>
      </c>
      <c r="H179" s="98">
        <v>10.572000000000001</v>
      </c>
      <c r="I179" s="98">
        <v>483.303</v>
      </c>
      <c r="J179" s="98">
        <v>12.586</v>
      </c>
      <c r="K179" s="98">
        <v>225.774</v>
      </c>
      <c r="L179" s="98">
        <v>120.18900000000001</v>
      </c>
      <c r="M179" s="98">
        <v>27.75</v>
      </c>
      <c r="N179" s="98">
        <v>386.29900000000004</v>
      </c>
      <c r="O179" s="98">
        <v>869.60199999999998</v>
      </c>
    </row>
    <row r="180" spans="1:15" ht="12.75" customHeight="1" x14ac:dyDescent="0.2">
      <c r="A180" s="153" t="s">
        <v>82</v>
      </c>
      <c r="B180" s="98">
        <v>212.136</v>
      </c>
      <c r="C180" s="98">
        <v>91.296999999999997</v>
      </c>
      <c r="D180" s="98">
        <v>46.661000000000001</v>
      </c>
      <c r="E180" s="98">
        <v>32.006</v>
      </c>
      <c r="F180" s="98">
        <v>33.213999999999999</v>
      </c>
      <c r="G180" s="98">
        <v>47.524000000000001</v>
      </c>
      <c r="H180" s="98">
        <v>10.092000000000001</v>
      </c>
      <c r="I180" s="98">
        <v>472.93</v>
      </c>
      <c r="J180" s="98">
        <v>10.864000000000001</v>
      </c>
      <c r="K180" s="98">
        <v>215.14500000000001</v>
      </c>
      <c r="L180" s="98">
        <v>119.959</v>
      </c>
      <c r="M180" s="98">
        <v>19.989999999999998</v>
      </c>
      <c r="N180" s="98">
        <v>365.95800000000003</v>
      </c>
      <c r="O180" s="98">
        <v>838.88800000000003</v>
      </c>
    </row>
    <row r="181" spans="1:15" x14ac:dyDescent="0.2">
      <c r="A181" s="153" t="s">
        <v>128</v>
      </c>
      <c r="B181" s="98">
        <f t="shared" ref="B181:O181" si="38">B178+B179+B180</f>
        <v>623.21199999999999</v>
      </c>
      <c r="C181" s="98">
        <f t="shared" si="38"/>
        <v>276.88300000000004</v>
      </c>
      <c r="D181" s="98">
        <f t="shared" si="38"/>
        <v>148.988</v>
      </c>
      <c r="E181" s="98">
        <f t="shared" si="38"/>
        <v>103.78399999999999</v>
      </c>
      <c r="F181" s="98">
        <f t="shared" si="38"/>
        <v>96.492999999999995</v>
      </c>
      <c r="G181" s="98">
        <f t="shared" si="38"/>
        <v>144.58199999999999</v>
      </c>
      <c r="H181" s="98">
        <f t="shared" si="38"/>
        <v>30.209000000000003</v>
      </c>
      <c r="I181" s="98">
        <f t="shared" si="38"/>
        <v>1424.1510000000001</v>
      </c>
      <c r="J181" s="98">
        <f t="shared" si="38"/>
        <v>35.289000000000001</v>
      </c>
      <c r="K181" s="98">
        <f t="shared" si="38"/>
        <v>651.78300000000002</v>
      </c>
      <c r="L181" s="98">
        <f t="shared" si="38"/>
        <v>349.649</v>
      </c>
      <c r="M181" s="98">
        <f t="shared" si="38"/>
        <v>67.034999999999997</v>
      </c>
      <c r="N181" s="98">
        <f t="shared" si="38"/>
        <v>1103.7560000000001</v>
      </c>
      <c r="O181" s="98">
        <f t="shared" si="38"/>
        <v>2527.9070000000002</v>
      </c>
    </row>
    <row r="182" spans="1:15" ht="12.75" customHeight="1" x14ac:dyDescent="0.2">
      <c r="A182" s="153" t="s">
        <v>135</v>
      </c>
      <c r="B182" s="98">
        <v>219.559</v>
      </c>
      <c r="C182" s="98">
        <v>100.72</v>
      </c>
      <c r="D182" s="98">
        <v>45.256999999999998</v>
      </c>
      <c r="E182" s="98">
        <v>35.832000000000001</v>
      </c>
      <c r="F182" s="98">
        <v>34.352000000000004</v>
      </c>
      <c r="G182" s="98">
        <v>57.517000000000003</v>
      </c>
      <c r="H182" s="98">
        <v>8.0229999999999997</v>
      </c>
      <c r="I182" s="98">
        <v>501.26</v>
      </c>
      <c r="J182" s="98">
        <v>10.097</v>
      </c>
      <c r="K182" s="98">
        <v>220.67600000000002</v>
      </c>
      <c r="L182" s="98">
        <v>124.169</v>
      </c>
      <c r="M182" s="98">
        <v>15.46</v>
      </c>
      <c r="N182" s="98">
        <v>370.40199999999999</v>
      </c>
      <c r="O182" s="98">
        <v>871.66200000000003</v>
      </c>
    </row>
    <row r="183" spans="1:15" ht="12.75" customHeight="1" x14ac:dyDescent="0.2">
      <c r="A183" s="153" t="s">
        <v>148</v>
      </c>
      <c r="B183" s="98">
        <v>193.50800000000001</v>
      </c>
      <c r="C183" s="98">
        <v>89.944999999999993</v>
      </c>
      <c r="D183" s="98">
        <v>43.914000000000001</v>
      </c>
      <c r="E183" s="98">
        <v>34.901000000000003</v>
      </c>
      <c r="F183" s="98">
        <v>34.488</v>
      </c>
      <c r="G183" s="98">
        <v>55.057000000000002</v>
      </c>
      <c r="H183" s="98">
        <v>9.48</v>
      </c>
      <c r="I183" s="98">
        <v>461.29300000000001</v>
      </c>
      <c r="J183" s="98">
        <v>10.362</v>
      </c>
      <c r="K183" s="98">
        <v>211.85300000000001</v>
      </c>
      <c r="L183" s="98">
        <v>128.96600000000001</v>
      </c>
      <c r="M183" s="98">
        <v>13.224</v>
      </c>
      <c r="N183" s="98">
        <v>364.40499999999997</v>
      </c>
      <c r="O183" s="98">
        <v>825.69799999999998</v>
      </c>
    </row>
    <row r="184" spans="1:15" ht="12.75" customHeight="1" x14ac:dyDescent="0.2">
      <c r="A184" s="153" t="s">
        <v>87</v>
      </c>
      <c r="B184" s="98">
        <v>167.369</v>
      </c>
      <c r="C184" s="98">
        <v>69.704000000000008</v>
      </c>
      <c r="D184" s="98">
        <v>43.131999999999998</v>
      </c>
      <c r="E184" s="98">
        <v>31.055</v>
      </c>
      <c r="F184" s="98">
        <v>29.824999999999999</v>
      </c>
      <c r="G184" s="98">
        <v>54.618000000000002</v>
      </c>
      <c r="H184" s="98">
        <v>10.481</v>
      </c>
      <c r="I184" s="98">
        <v>406.18400000000003</v>
      </c>
      <c r="J184" s="98">
        <v>9.0150000000000006</v>
      </c>
      <c r="K184" s="98">
        <v>195.25</v>
      </c>
      <c r="L184" s="98">
        <v>100.264</v>
      </c>
      <c r="M184" s="98">
        <v>13.763</v>
      </c>
      <c r="N184" s="98">
        <v>318.29200000000003</v>
      </c>
      <c r="O184" s="98">
        <v>724.476</v>
      </c>
    </row>
    <row r="185" spans="1:15" x14ac:dyDescent="0.2">
      <c r="A185" s="153" t="s">
        <v>129</v>
      </c>
      <c r="B185" s="98">
        <f t="shared" ref="B185:O185" si="39">B182+B183+B184</f>
        <v>580.43600000000004</v>
      </c>
      <c r="C185" s="98">
        <f t="shared" si="39"/>
        <v>260.36900000000003</v>
      </c>
      <c r="D185" s="98">
        <f t="shared" si="39"/>
        <v>132.303</v>
      </c>
      <c r="E185" s="98">
        <f t="shared" si="39"/>
        <v>101.78800000000001</v>
      </c>
      <c r="F185" s="98">
        <f t="shared" si="39"/>
        <v>98.665000000000006</v>
      </c>
      <c r="G185" s="98">
        <f t="shared" si="39"/>
        <v>167.19200000000001</v>
      </c>
      <c r="H185" s="98">
        <f t="shared" si="39"/>
        <v>27.984000000000002</v>
      </c>
      <c r="I185" s="98">
        <f t="shared" si="39"/>
        <v>1368.7370000000001</v>
      </c>
      <c r="J185" s="98">
        <f t="shared" si="39"/>
        <v>29.474</v>
      </c>
      <c r="K185" s="98">
        <f t="shared" si="39"/>
        <v>627.779</v>
      </c>
      <c r="L185" s="98">
        <f t="shared" si="39"/>
        <v>353.399</v>
      </c>
      <c r="M185" s="98">
        <f t="shared" si="39"/>
        <v>42.447000000000003</v>
      </c>
      <c r="N185" s="98">
        <f t="shared" si="39"/>
        <v>1053.0990000000002</v>
      </c>
      <c r="O185" s="98">
        <f t="shared" si="39"/>
        <v>2421.8360000000002</v>
      </c>
    </row>
    <row r="186" spans="1:15" x14ac:dyDescent="0.2">
      <c r="A186" s="86">
        <v>2011</v>
      </c>
      <c r="B186" s="98"/>
      <c r="C186" s="98"/>
      <c r="D186" s="98"/>
      <c r="E186" s="98"/>
      <c r="F186" s="98"/>
      <c r="G186" s="98"/>
      <c r="H186" s="98"/>
      <c r="I186" s="98"/>
      <c r="J186" s="98"/>
      <c r="K186" s="98"/>
      <c r="L186" s="98"/>
      <c r="M186" s="98"/>
      <c r="N186" s="98"/>
      <c r="O186" s="98"/>
    </row>
    <row r="187" spans="1:15" ht="12.75" customHeight="1" x14ac:dyDescent="0.2">
      <c r="A187" s="76" t="s">
        <v>74</v>
      </c>
      <c r="B187" s="98">
        <v>202.15299999999999</v>
      </c>
      <c r="C187" s="98">
        <v>93.120999999999995</v>
      </c>
      <c r="D187" s="98">
        <v>46.904000000000003</v>
      </c>
      <c r="E187" s="98">
        <v>34.104999999999997</v>
      </c>
      <c r="F187" s="98">
        <v>31.722999999999999</v>
      </c>
      <c r="G187" s="98">
        <v>50.986000000000004</v>
      </c>
      <c r="H187" s="98">
        <v>11.189</v>
      </c>
      <c r="I187" s="98">
        <v>470.18099999999998</v>
      </c>
      <c r="J187" s="98">
        <v>8.9369999999999994</v>
      </c>
      <c r="K187" s="98">
        <v>172.899</v>
      </c>
      <c r="L187" s="98">
        <v>80.103000000000009</v>
      </c>
      <c r="M187" s="98">
        <v>12.269</v>
      </c>
      <c r="N187" s="98">
        <v>274.20800000000003</v>
      </c>
      <c r="O187" s="98">
        <v>744.38900000000001</v>
      </c>
    </row>
    <row r="188" spans="1:15" ht="12.75" customHeight="1" x14ac:dyDescent="0.2">
      <c r="A188" s="76" t="s">
        <v>140</v>
      </c>
      <c r="B188" s="98">
        <v>181.023</v>
      </c>
      <c r="C188" s="98">
        <v>80.507999999999996</v>
      </c>
      <c r="D188" s="98">
        <v>46.026000000000003</v>
      </c>
      <c r="E188" s="98">
        <v>31.842000000000002</v>
      </c>
      <c r="F188" s="98">
        <v>27.234999999999999</v>
      </c>
      <c r="G188" s="98">
        <v>47.164000000000001</v>
      </c>
      <c r="H188" s="98">
        <v>9.93</v>
      </c>
      <c r="I188" s="98">
        <v>423.72800000000001</v>
      </c>
      <c r="J188" s="98">
        <v>8.98</v>
      </c>
      <c r="K188" s="98">
        <v>177.22499999999999</v>
      </c>
      <c r="L188" s="98">
        <v>87.736999999999995</v>
      </c>
      <c r="M188" s="98">
        <v>15.96</v>
      </c>
      <c r="N188" s="98">
        <v>289.90199999999999</v>
      </c>
      <c r="O188" s="98">
        <v>713.63</v>
      </c>
    </row>
    <row r="189" spans="1:15" ht="12.75" customHeight="1" x14ac:dyDescent="0.2">
      <c r="A189" s="76" t="s">
        <v>76</v>
      </c>
      <c r="B189" s="98">
        <v>215.845</v>
      </c>
      <c r="C189" s="98">
        <v>97.331000000000003</v>
      </c>
      <c r="D189" s="98">
        <v>56.33</v>
      </c>
      <c r="E189" s="98">
        <v>37.201999999999998</v>
      </c>
      <c r="F189" s="98">
        <v>31.145</v>
      </c>
      <c r="G189" s="98">
        <v>60.048000000000002</v>
      </c>
      <c r="H189" s="98">
        <v>10.977</v>
      </c>
      <c r="I189" s="98">
        <v>508.87799999999999</v>
      </c>
      <c r="J189" s="98">
        <v>10.826000000000001</v>
      </c>
      <c r="K189" s="98">
        <v>217.488</v>
      </c>
      <c r="L189" s="98">
        <v>106.45100000000001</v>
      </c>
      <c r="M189" s="98">
        <v>13.537000000000001</v>
      </c>
      <c r="N189" s="98">
        <v>348.30200000000002</v>
      </c>
      <c r="O189" s="98">
        <v>857.18</v>
      </c>
    </row>
    <row r="190" spans="1:15" x14ac:dyDescent="0.2">
      <c r="A190" s="86" t="s">
        <v>126</v>
      </c>
      <c r="B190" s="98">
        <v>599.02099999999996</v>
      </c>
      <c r="C190" s="98">
        <v>270.95999999999998</v>
      </c>
      <c r="D190" s="98">
        <v>149.26</v>
      </c>
      <c r="E190" s="98">
        <v>103.149</v>
      </c>
      <c r="F190" s="98">
        <v>90.102999999999994</v>
      </c>
      <c r="G190" s="98">
        <v>158.19800000000001</v>
      </c>
      <c r="H190" s="98">
        <v>32.096000000000004</v>
      </c>
      <c r="I190" s="98">
        <v>1402.787</v>
      </c>
      <c r="J190" s="98">
        <v>28.743000000000002</v>
      </c>
      <c r="K190" s="98">
        <v>567.61200000000008</v>
      </c>
      <c r="L190" s="98">
        <v>274.291</v>
      </c>
      <c r="M190" s="98">
        <v>41.765999999999998</v>
      </c>
      <c r="N190" s="98">
        <v>912.41200000000003</v>
      </c>
      <c r="O190" s="98">
        <v>2315.1990000000001</v>
      </c>
    </row>
    <row r="191" spans="1:15" ht="12.75" customHeight="1" x14ac:dyDescent="0.2">
      <c r="A191" s="76" t="s">
        <v>78</v>
      </c>
      <c r="B191" s="98">
        <v>189.57900000000001</v>
      </c>
      <c r="C191" s="98">
        <v>84.569000000000003</v>
      </c>
      <c r="D191" s="98">
        <v>52.303000000000004</v>
      </c>
      <c r="E191" s="98">
        <v>34.381999999999998</v>
      </c>
      <c r="F191" s="98">
        <v>31.946000000000002</v>
      </c>
      <c r="G191" s="98">
        <v>52.77</v>
      </c>
      <c r="H191" s="98">
        <v>9.7550000000000008</v>
      </c>
      <c r="I191" s="98">
        <v>455.30400000000003</v>
      </c>
      <c r="J191" s="98">
        <v>10.016</v>
      </c>
      <c r="K191" s="98">
        <v>197.41</v>
      </c>
      <c r="L191" s="98">
        <v>99.7</v>
      </c>
      <c r="M191" s="98">
        <v>12.677</v>
      </c>
      <c r="N191" s="98">
        <v>319.803</v>
      </c>
      <c r="O191" s="98">
        <v>775.10699999999997</v>
      </c>
    </row>
    <row r="192" spans="1:15" ht="12.75" customHeight="1" x14ac:dyDescent="0.2">
      <c r="A192" s="153" t="s">
        <v>79</v>
      </c>
      <c r="B192" s="98">
        <v>193.934</v>
      </c>
      <c r="C192" s="98">
        <v>92.713999999999999</v>
      </c>
      <c r="D192" s="98">
        <v>53.148000000000003</v>
      </c>
      <c r="E192" s="98">
        <v>35.581000000000003</v>
      </c>
      <c r="F192" s="98">
        <v>33.049999999999997</v>
      </c>
      <c r="G192" s="98">
        <v>57.195</v>
      </c>
      <c r="H192" s="98">
        <v>9.1189999999999998</v>
      </c>
      <c r="I192" s="98">
        <v>474.74099999999999</v>
      </c>
      <c r="J192" s="98">
        <v>9.5830000000000002</v>
      </c>
      <c r="K192" s="98">
        <v>204.00300000000001</v>
      </c>
      <c r="L192" s="98">
        <v>92.63</v>
      </c>
      <c r="M192" s="98">
        <v>19.716999999999999</v>
      </c>
      <c r="N192" s="98">
        <v>325.93299999999999</v>
      </c>
      <c r="O192" s="98">
        <v>800.67399999999998</v>
      </c>
    </row>
    <row r="193" spans="1:15" ht="12.75" customHeight="1" x14ac:dyDescent="0.2">
      <c r="A193" s="153" t="s">
        <v>89</v>
      </c>
      <c r="B193" s="98">
        <v>199.17</v>
      </c>
      <c r="C193" s="98">
        <v>85.043000000000006</v>
      </c>
      <c r="D193" s="98">
        <v>54.811999999999998</v>
      </c>
      <c r="E193" s="98">
        <v>37.850999999999999</v>
      </c>
      <c r="F193" s="98">
        <v>37.603999999999999</v>
      </c>
      <c r="G193" s="98">
        <v>52.442</v>
      </c>
      <c r="H193" s="98">
        <v>13.073</v>
      </c>
      <c r="I193" s="98">
        <v>479.995</v>
      </c>
      <c r="J193" s="98">
        <v>10.502000000000001</v>
      </c>
      <c r="K193" s="98">
        <v>201.47300000000001</v>
      </c>
      <c r="L193" s="98">
        <v>98.777000000000001</v>
      </c>
      <c r="M193" s="98">
        <v>35.927</v>
      </c>
      <c r="N193" s="98">
        <v>346.67900000000003</v>
      </c>
      <c r="O193" s="98">
        <v>826.67399999999998</v>
      </c>
    </row>
    <row r="194" spans="1:15" x14ac:dyDescent="0.2">
      <c r="A194" s="153" t="s">
        <v>127</v>
      </c>
      <c r="B194" s="98">
        <v>582.68299999999999</v>
      </c>
      <c r="C194" s="98">
        <v>262.32600000000002</v>
      </c>
      <c r="D194" s="98">
        <v>160.26300000000001</v>
      </c>
      <c r="E194" s="98">
        <v>107.81399999999999</v>
      </c>
      <c r="F194" s="98">
        <v>102.6</v>
      </c>
      <c r="G194" s="98">
        <v>162.40700000000001</v>
      </c>
      <c r="H194" s="98">
        <v>31.947000000000003</v>
      </c>
      <c r="I194" s="98">
        <v>1410.04</v>
      </c>
      <c r="J194" s="98">
        <v>30.100999999999999</v>
      </c>
      <c r="K194" s="98">
        <v>602.88599999999997</v>
      </c>
      <c r="L194" s="98">
        <v>291.10699999999997</v>
      </c>
      <c r="M194" s="98">
        <v>68.320999999999998</v>
      </c>
      <c r="N194" s="98">
        <v>992.41499999999996</v>
      </c>
      <c r="O194" s="98">
        <v>2402.4549999999999</v>
      </c>
    </row>
    <row r="195" spans="1:15" ht="12.75" customHeight="1" x14ac:dyDescent="0.2">
      <c r="A195" s="153" t="s">
        <v>90</v>
      </c>
      <c r="B195" s="98">
        <v>200.32599999999999</v>
      </c>
      <c r="C195" s="98">
        <v>86.388999999999996</v>
      </c>
      <c r="D195" s="98">
        <v>52.904000000000003</v>
      </c>
      <c r="E195" s="98">
        <v>34.695</v>
      </c>
      <c r="F195" s="98">
        <v>34.509</v>
      </c>
      <c r="G195" s="98">
        <v>50.805</v>
      </c>
      <c r="H195" s="98">
        <v>9.8410000000000011</v>
      </c>
      <c r="I195" s="98">
        <v>469.46899999999999</v>
      </c>
      <c r="J195" s="98">
        <v>10.593</v>
      </c>
      <c r="K195" s="98">
        <v>214.85</v>
      </c>
      <c r="L195" s="98">
        <v>103.485</v>
      </c>
      <c r="M195" s="98">
        <v>19.100000000000001</v>
      </c>
      <c r="N195" s="98">
        <v>348.02800000000002</v>
      </c>
      <c r="O195" s="98">
        <v>817.49700000000007</v>
      </c>
    </row>
    <row r="196" spans="1:15" ht="12.75" customHeight="1" x14ac:dyDescent="0.2">
      <c r="A196" s="153" t="s">
        <v>81</v>
      </c>
      <c r="B196" s="98">
        <v>222.959</v>
      </c>
      <c r="C196" s="98">
        <v>90.162000000000006</v>
      </c>
      <c r="D196" s="98">
        <v>57.498000000000005</v>
      </c>
      <c r="E196" s="98">
        <v>38.927999999999997</v>
      </c>
      <c r="F196" s="98">
        <v>39.140999999999998</v>
      </c>
      <c r="G196" s="98">
        <v>56.204000000000001</v>
      </c>
      <c r="H196" s="98">
        <v>14.062000000000001</v>
      </c>
      <c r="I196" s="98">
        <v>518.95400000000006</v>
      </c>
      <c r="J196" s="98">
        <v>11.163</v>
      </c>
      <c r="K196" s="98">
        <v>261.19400000000002</v>
      </c>
      <c r="L196" s="98">
        <v>119.28700000000001</v>
      </c>
      <c r="M196" s="98">
        <v>16.776</v>
      </c>
      <c r="N196" s="98">
        <v>408.42</v>
      </c>
      <c r="O196" s="98">
        <v>927.37400000000002</v>
      </c>
    </row>
    <row r="197" spans="1:15" ht="12.75" customHeight="1" x14ac:dyDescent="0.2">
      <c r="A197" s="153" t="s">
        <v>82</v>
      </c>
      <c r="B197" s="98">
        <v>179.41800000000001</v>
      </c>
      <c r="C197" s="98">
        <v>81.263999999999996</v>
      </c>
      <c r="D197" s="98">
        <v>53.639000000000003</v>
      </c>
      <c r="E197" s="98">
        <v>29.905000000000001</v>
      </c>
      <c r="F197" s="98">
        <v>41.113</v>
      </c>
      <c r="G197" s="98">
        <v>47.49</v>
      </c>
      <c r="H197" s="98">
        <v>9.2729999999999997</v>
      </c>
      <c r="I197" s="98">
        <v>442.10200000000003</v>
      </c>
      <c r="J197" s="98">
        <v>10.433</v>
      </c>
      <c r="K197" s="98">
        <v>238.39400000000001</v>
      </c>
      <c r="L197" s="98">
        <v>119.318</v>
      </c>
      <c r="M197" s="98">
        <v>28.975999999999999</v>
      </c>
      <c r="N197" s="98">
        <v>397.12099999999998</v>
      </c>
      <c r="O197" s="98">
        <v>839.22300000000007</v>
      </c>
    </row>
    <row r="198" spans="1:15" x14ac:dyDescent="0.2">
      <c r="A198" s="153" t="s">
        <v>128</v>
      </c>
      <c r="B198" s="98">
        <v>602.70299999999997</v>
      </c>
      <c r="C198" s="98">
        <v>257.815</v>
      </c>
      <c r="D198" s="98">
        <v>164.04100000000003</v>
      </c>
      <c r="E198" s="98">
        <v>103.52799999999999</v>
      </c>
      <c r="F198" s="98">
        <v>114.76300000000001</v>
      </c>
      <c r="G198" s="98">
        <v>154.499</v>
      </c>
      <c r="H198" s="98">
        <v>33.176000000000002</v>
      </c>
      <c r="I198" s="98">
        <v>1430.5250000000001</v>
      </c>
      <c r="J198" s="98">
        <v>32.189</v>
      </c>
      <c r="K198" s="98">
        <v>714.43799999999999</v>
      </c>
      <c r="L198" s="98">
        <v>342.09</v>
      </c>
      <c r="M198" s="98">
        <v>64.852000000000004</v>
      </c>
      <c r="N198" s="98">
        <v>1153.569</v>
      </c>
      <c r="O198" s="98">
        <v>2584.0940000000001</v>
      </c>
    </row>
    <row r="199" spans="1:15" ht="12.75" customHeight="1" x14ac:dyDescent="0.2">
      <c r="A199" s="153" t="s">
        <v>135</v>
      </c>
      <c r="B199" s="98">
        <v>191.61</v>
      </c>
      <c r="C199" s="98">
        <v>98.522000000000006</v>
      </c>
      <c r="D199" s="98">
        <v>53.127000000000002</v>
      </c>
      <c r="E199" s="98">
        <v>31.952999999999999</v>
      </c>
      <c r="F199" s="98">
        <v>34.326999999999998</v>
      </c>
      <c r="G199" s="98">
        <v>53.561</v>
      </c>
      <c r="H199" s="98">
        <v>8.9489999999999998</v>
      </c>
      <c r="I199" s="98">
        <v>472.04900000000004</v>
      </c>
      <c r="J199" s="98">
        <v>10.849</v>
      </c>
      <c r="K199" s="98">
        <v>230.42600000000002</v>
      </c>
      <c r="L199" s="98">
        <v>117.688</v>
      </c>
      <c r="M199" s="98">
        <v>22.795000000000002</v>
      </c>
      <c r="N199" s="98">
        <v>381.75799999999998</v>
      </c>
      <c r="O199" s="98">
        <v>853.80700000000002</v>
      </c>
    </row>
    <row r="200" spans="1:15" ht="12.75" customHeight="1" x14ac:dyDescent="0.2">
      <c r="A200" s="153" t="s">
        <v>148</v>
      </c>
      <c r="B200" s="98">
        <v>181.72400000000002</v>
      </c>
      <c r="C200" s="98">
        <v>86.876000000000005</v>
      </c>
      <c r="D200" s="98">
        <v>48.332000000000001</v>
      </c>
      <c r="E200" s="98">
        <v>27.594999999999999</v>
      </c>
      <c r="F200" s="98">
        <v>34.808</v>
      </c>
      <c r="G200" s="98">
        <v>51.221000000000004</v>
      </c>
      <c r="H200" s="98">
        <v>13.207000000000001</v>
      </c>
      <c r="I200" s="98">
        <v>443.76300000000003</v>
      </c>
      <c r="J200" s="98">
        <v>8.282</v>
      </c>
      <c r="K200" s="98">
        <v>214.48400000000001</v>
      </c>
      <c r="L200" s="98">
        <v>116.828</v>
      </c>
      <c r="M200" s="98">
        <v>19.248000000000001</v>
      </c>
      <c r="N200" s="98">
        <v>358.84199999999998</v>
      </c>
      <c r="O200" s="98">
        <v>802.60500000000002</v>
      </c>
    </row>
    <row r="201" spans="1:15" ht="12.75" customHeight="1" x14ac:dyDescent="0.2">
      <c r="A201" s="153" t="s">
        <v>87</v>
      </c>
      <c r="B201" s="98">
        <v>165.92400000000001</v>
      </c>
      <c r="C201" s="98">
        <v>71.588000000000008</v>
      </c>
      <c r="D201" s="98">
        <v>46.962000000000003</v>
      </c>
      <c r="E201" s="98">
        <v>29.920999999999999</v>
      </c>
      <c r="F201" s="98">
        <v>34.034999999999997</v>
      </c>
      <c r="G201" s="98">
        <v>45.027999999999999</v>
      </c>
      <c r="H201" s="98">
        <v>8.9689999999999994</v>
      </c>
      <c r="I201" s="98">
        <v>402.42700000000002</v>
      </c>
      <c r="J201" s="98">
        <v>9.3369999999999997</v>
      </c>
      <c r="K201" s="98">
        <v>181.16499999999999</v>
      </c>
      <c r="L201" s="98">
        <v>96.644999999999996</v>
      </c>
      <c r="M201" s="98">
        <v>17.619</v>
      </c>
      <c r="N201" s="98">
        <v>304.76600000000002</v>
      </c>
      <c r="O201" s="98">
        <v>707.19299999999998</v>
      </c>
    </row>
    <row r="202" spans="1:15" x14ac:dyDescent="0.2">
      <c r="A202" s="153" t="s">
        <v>129</v>
      </c>
      <c r="B202" s="98">
        <v>539.25800000000004</v>
      </c>
      <c r="C202" s="98">
        <v>256.98600000000005</v>
      </c>
      <c r="D202" s="98">
        <v>148.42099999999999</v>
      </c>
      <c r="E202" s="98">
        <v>89.468999999999994</v>
      </c>
      <c r="F202" s="98">
        <v>103.17</v>
      </c>
      <c r="G202" s="98">
        <v>149.81</v>
      </c>
      <c r="H202" s="98">
        <v>31.125</v>
      </c>
      <c r="I202" s="98">
        <v>1318.239</v>
      </c>
      <c r="J202" s="98">
        <v>28.468</v>
      </c>
      <c r="K202" s="98">
        <v>626.07500000000005</v>
      </c>
      <c r="L202" s="98">
        <v>331.161</v>
      </c>
      <c r="M202" s="98">
        <v>59.662000000000006</v>
      </c>
      <c r="N202" s="98">
        <v>1045.366</v>
      </c>
      <c r="O202" s="98">
        <v>2363.605</v>
      </c>
    </row>
    <row r="203" spans="1:15" x14ac:dyDescent="0.2">
      <c r="A203" s="86"/>
      <c r="B203" s="98"/>
      <c r="C203" s="98"/>
      <c r="D203" s="98"/>
      <c r="E203" s="98"/>
      <c r="F203" s="98"/>
      <c r="G203" s="98"/>
      <c r="H203" s="98"/>
      <c r="I203" s="98"/>
      <c r="J203" s="98"/>
      <c r="K203" s="98"/>
      <c r="L203" s="98"/>
      <c r="M203" s="98"/>
      <c r="N203" s="98"/>
      <c r="O203" s="98"/>
    </row>
    <row r="204" spans="1:15" x14ac:dyDescent="0.2">
      <c r="A204" s="86">
        <v>2012</v>
      </c>
      <c r="B204" s="98"/>
      <c r="C204" s="98"/>
      <c r="D204" s="98"/>
      <c r="E204" s="98"/>
      <c r="F204" s="98"/>
      <c r="G204" s="98"/>
      <c r="H204" s="98"/>
      <c r="I204" s="98"/>
      <c r="J204" s="98"/>
      <c r="K204" s="98"/>
      <c r="L204" s="98"/>
      <c r="M204" s="98"/>
      <c r="N204" s="98"/>
      <c r="O204" s="98"/>
    </row>
    <row r="205" spans="1:15" x14ac:dyDescent="0.2">
      <c r="A205" s="76" t="s">
        <v>74</v>
      </c>
      <c r="B205" s="98">
        <v>189.334</v>
      </c>
      <c r="C205" s="98">
        <v>80.052999999999997</v>
      </c>
      <c r="D205" s="98">
        <v>51.463000000000001</v>
      </c>
      <c r="E205" s="98">
        <v>34.679000000000002</v>
      </c>
      <c r="F205" s="98">
        <v>33.950000000000003</v>
      </c>
      <c r="G205" s="98">
        <v>46.414999999999999</v>
      </c>
      <c r="H205" s="98">
        <v>10.58</v>
      </c>
      <c r="I205" s="98">
        <v>446.47399999999999</v>
      </c>
      <c r="J205" s="98">
        <v>7.8280000000000003</v>
      </c>
      <c r="K205" s="98">
        <v>170.56800000000001</v>
      </c>
      <c r="L205" s="98">
        <v>68.942999999999998</v>
      </c>
      <c r="M205" s="98">
        <v>20.638000000000002</v>
      </c>
      <c r="N205" s="98">
        <v>267.97700000000003</v>
      </c>
      <c r="O205" s="98">
        <v>714.45100000000002</v>
      </c>
    </row>
    <row r="206" spans="1:15" x14ac:dyDescent="0.2">
      <c r="A206" s="76" t="s">
        <v>140</v>
      </c>
      <c r="B206" s="98">
        <v>185.72300000000001</v>
      </c>
      <c r="C206" s="98">
        <v>82.355000000000004</v>
      </c>
      <c r="D206" s="98">
        <v>54.116</v>
      </c>
      <c r="E206" s="98">
        <v>36.423999999999999</v>
      </c>
      <c r="F206" s="98">
        <v>31.951000000000001</v>
      </c>
      <c r="G206" s="98">
        <v>54.274999999999999</v>
      </c>
      <c r="H206" s="98">
        <v>10.37</v>
      </c>
      <c r="I206" s="98">
        <v>455.214</v>
      </c>
      <c r="J206" s="98">
        <v>8.8819999999999997</v>
      </c>
      <c r="K206" s="98">
        <v>183.31399999999999</v>
      </c>
      <c r="L206" s="98">
        <v>83.834000000000003</v>
      </c>
      <c r="M206" s="98">
        <v>22.552</v>
      </c>
      <c r="N206" s="98">
        <v>298.58199999999999</v>
      </c>
      <c r="O206" s="98">
        <v>753.79600000000005</v>
      </c>
    </row>
    <row r="207" spans="1:15" x14ac:dyDescent="0.2">
      <c r="A207" s="76" t="s">
        <v>76</v>
      </c>
      <c r="B207" s="98">
        <v>218.483</v>
      </c>
      <c r="C207" s="98">
        <v>90.370999999999995</v>
      </c>
      <c r="D207" s="98">
        <v>61.594999999999999</v>
      </c>
      <c r="E207" s="98">
        <v>42.77</v>
      </c>
      <c r="F207" s="98">
        <v>37.354999999999997</v>
      </c>
      <c r="G207" s="98">
        <v>52.201999999999998</v>
      </c>
      <c r="H207" s="98">
        <v>10.641</v>
      </c>
      <c r="I207" s="98">
        <v>513.41700000000003</v>
      </c>
      <c r="J207" s="98">
        <v>9.702</v>
      </c>
      <c r="K207" s="98">
        <v>205.107</v>
      </c>
      <c r="L207" s="98">
        <v>94.841999999999999</v>
      </c>
      <c r="M207" s="98">
        <v>23.561</v>
      </c>
      <c r="N207" s="98">
        <v>333.21199999999999</v>
      </c>
      <c r="O207" s="98">
        <v>846.62900000000002</v>
      </c>
    </row>
    <row r="208" spans="1:15" x14ac:dyDescent="0.2">
      <c r="A208" s="86" t="s">
        <v>126</v>
      </c>
      <c r="B208" s="98">
        <v>593.54</v>
      </c>
      <c r="C208" s="98">
        <v>252.779</v>
      </c>
      <c r="D208" s="98">
        <v>167.17400000000001</v>
      </c>
      <c r="E208" s="98">
        <v>113.87300000000002</v>
      </c>
      <c r="F208" s="98">
        <v>103.25600000000001</v>
      </c>
      <c r="G208" s="98">
        <v>152.892</v>
      </c>
      <c r="H208" s="98">
        <v>31.591000000000001</v>
      </c>
      <c r="I208" s="98">
        <v>1415.105</v>
      </c>
      <c r="J208" s="98">
        <v>26.411999999999999</v>
      </c>
      <c r="K208" s="98">
        <v>558.98900000000003</v>
      </c>
      <c r="L208" s="98">
        <v>247.61899999999997</v>
      </c>
      <c r="M208" s="98">
        <v>66.751000000000005</v>
      </c>
      <c r="N208" s="98">
        <v>899.77099999999996</v>
      </c>
      <c r="O208" s="98">
        <v>2314.8760000000002</v>
      </c>
    </row>
    <row r="209" spans="1:15" x14ac:dyDescent="0.2">
      <c r="A209" s="76" t="s">
        <v>78</v>
      </c>
      <c r="B209" s="98">
        <v>190.68600000000001</v>
      </c>
      <c r="C209" s="98">
        <v>79.554000000000002</v>
      </c>
      <c r="D209" s="98">
        <v>55.530999999999999</v>
      </c>
      <c r="E209" s="98">
        <v>39.83</v>
      </c>
      <c r="F209" s="98">
        <v>32.889000000000003</v>
      </c>
      <c r="G209" s="98">
        <v>50.838000000000001</v>
      </c>
      <c r="H209" s="98">
        <v>7.6370000000000005</v>
      </c>
      <c r="I209" s="98">
        <v>456.96499999999997</v>
      </c>
      <c r="J209" s="98">
        <v>9.0510000000000002</v>
      </c>
      <c r="K209" s="98">
        <v>173.78200000000001</v>
      </c>
      <c r="L209" s="98">
        <v>77.914000000000001</v>
      </c>
      <c r="M209" s="98">
        <v>21.722000000000001</v>
      </c>
      <c r="N209" s="98">
        <v>282.46899999999999</v>
      </c>
      <c r="O209" s="98">
        <v>739.43399999999997</v>
      </c>
    </row>
    <row r="210" spans="1:15" x14ac:dyDescent="0.2">
      <c r="A210" s="153" t="s">
        <v>79</v>
      </c>
      <c r="B210" s="98">
        <v>206.45500000000001</v>
      </c>
      <c r="C210" s="98">
        <v>88.986000000000004</v>
      </c>
      <c r="D210" s="98">
        <v>63.346000000000004</v>
      </c>
      <c r="E210" s="98">
        <v>43.338000000000001</v>
      </c>
      <c r="F210" s="98">
        <v>35.898000000000003</v>
      </c>
      <c r="G210" s="98">
        <v>58.765000000000001</v>
      </c>
      <c r="H210" s="98">
        <v>11.581</v>
      </c>
      <c r="I210" s="98">
        <v>508.36900000000003</v>
      </c>
      <c r="J210" s="98">
        <v>10.143000000000001</v>
      </c>
      <c r="K210" s="98">
        <v>200.755</v>
      </c>
      <c r="L210" s="98">
        <v>100.17</v>
      </c>
      <c r="M210" s="98">
        <v>22.248000000000001</v>
      </c>
      <c r="N210" s="98">
        <v>333.31600000000003</v>
      </c>
      <c r="O210" s="98">
        <v>841.68499999999995</v>
      </c>
    </row>
    <row r="211" spans="1:15" x14ac:dyDescent="0.2">
      <c r="A211" s="153" t="s">
        <v>89</v>
      </c>
      <c r="B211" s="98">
        <v>199.726</v>
      </c>
      <c r="C211" s="98">
        <v>88.070999999999998</v>
      </c>
      <c r="D211" s="98">
        <v>58.009</v>
      </c>
      <c r="E211" s="98">
        <v>42.183</v>
      </c>
      <c r="F211" s="98">
        <v>34.692</v>
      </c>
      <c r="G211" s="98">
        <v>56.968000000000004</v>
      </c>
      <c r="H211" s="98">
        <v>11.768000000000001</v>
      </c>
      <c r="I211" s="98">
        <v>491.41700000000003</v>
      </c>
      <c r="J211" s="98">
        <v>10.059000000000001</v>
      </c>
      <c r="K211" s="98">
        <v>186.91200000000001</v>
      </c>
      <c r="L211" s="98">
        <v>104.765</v>
      </c>
      <c r="M211" s="98">
        <v>31.678000000000001</v>
      </c>
      <c r="N211" s="98">
        <v>333.41399999999999</v>
      </c>
      <c r="O211" s="98">
        <v>824.83100000000002</v>
      </c>
    </row>
    <row r="212" spans="1:15" x14ac:dyDescent="0.2">
      <c r="A212" s="153" t="s">
        <v>127</v>
      </c>
      <c r="B212" s="98">
        <v>596.86699999999996</v>
      </c>
      <c r="C212" s="98">
        <v>256.61099999999999</v>
      </c>
      <c r="D212" s="98">
        <v>176.88600000000002</v>
      </c>
      <c r="E212" s="98">
        <v>125.351</v>
      </c>
      <c r="F212" s="98">
        <v>103.47900000000001</v>
      </c>
      <c r="G212" s="98">
        <v>166.57100000000003</v>
      </c>
      <c r="H212" s="98">
        <v>30.986000000000001</v>
      </c>
      <c r="I212" s="98">
        <v>1456.7510000000002</v>
      </c>
      <c r="J212" s="98">
        <v>29.253000000000004</v>
      </c>
      <c r="K212" s="98">
        <v>561.44900000000007</v>
      </c>
      <c r="L212" s="98">
        <v>282.84899999999999</v>
      </c>
      <c r="M212" s="98">
        <v>75.647999999999996</v>
      </c>
      <c r="N212" s="98">
        <v>949.19900000000007</v>
      </c>
      <c r="O212" s="98">
        <v>2405.9499999999998</v>
      </c>
    </row>
    <row r="213" spans="1:15" x14ac:dyDescent="0.2">
      <c r="A213" s="153" t="s">
        <v>90</v>
      </c>
      <c r="B213" s="98">
        <v>206.161</v>
      </c>
      <c r="C213" s="98">
        <v>91.972999999999999</v>
      </c>
      <c r="D213" s="98">
        <v>58.108000000000004</v>
      </c>
      <c r="E213" s="98">
        <v>45.451999999999998</v>
      </c>
      <c r="F213" s="98">
        <v>36.049999999999997</v>
      </c>
      <c r="G213" s="98">
        <v>62.404000000000003</v>
      </c>
      <c r="H213" s="98">
        <v>12.416</v>
      </c>
      <c r="I213" s="98">
        <v>512.56399999999996</v>
      </c>
      <c r="J213" s="98">
        <v>10.829000000000001</v>
      </c>
      <c r="K213" s="98">
        <v>199.88800000000001</v>
      </c>
      <c r="L213" s="98">
        <v>102.705</v>
      </c>
      <c r="M213" s="98">
        <v>35.445</v>
      </c>
      <c r="N213" s="98">
        <v>348.86700000000002</v>
      </c>
      <c r="O213" s="98">
        <v>861.43100000000004</v>
      </c>
    </row>
    <row r="214" spans="1:15" x14ac:dyDescent="0.2">
      <c r="A214" s="153" t="s">
        <v>81</v>
      </c>
      <c r="B214" s="98">
        <v>207.38300000000001</v>
      </c>
      <c r="C214" s="98">
        <v>97.825000000000003</v>
      </c>
      <c r="D214" s="98">
        <v>61.777999999999999</v>
      </c>
      <c r="E214" s="98">
        <v>40.624000000000002</v>
      </c>
      <c r="F214" s="98">
        <v>37.358000000000004</v>
      </c>
      <c r="G214" s="98">
        <v>63.792999999999999</v>
      </c>
      <c r="H214" s="98">
        <v>11.03</v>
      </c>
      <c r="I214" s="98">
        <v>519.79100000000005</v>
      </c>
      <c r="J214" s="98">
        <v>11.106</v>
      </c>
      <c r="K214" s="98">
        <v>199.35</v>
      </c>
      <c r="L214" s="98">
        <v>107.758</v>
      </c>
      <c r="M214" s="98">
        <v>35.378999999999998</v>
      </c>
      <c r="N214" s="98">
        <v>353.59300000000002</v>
      </c>
      <c r="O214" s="98">
        <v>873.38400000000001</v>
      </c>
    </row>
    <row r="215" spans="1:15" x14ac:dyDescent="0.2">
      <c r="A215" s="153" t="s">
        <v>82</v>
      </c>
      <c r="B215" s="98">
        <v>183.85900000000001</v>
      </c>
      <c r="C215" s="98">
        <v>89.417000000000002</v>
      </c>
      <c r="D215" s="98">
        <v>51.975999999999999</v>
      </c>
      <c r="E215" s="98">
        <v>41.820999999999998</v>
      </c>
      <c r="F215" s="98">
        <v>35.612000000000002</v>
      </c>
      <c r="G215" s="98">
        <v>54.173999999999999</v>
      </c>
      <c r="H215" s="98">
        <v>9.7379999999999995</v>
      </c>
      <c r="I215" s="98">
        <v>466.59700000000004</v>
      </c>
      <c r="J215" s="98">
        <v>9.5190000000000001</v>
      </c>
      <c r="K215" s="98">
        <v>195.71700000000001</v>
      </c>
      <c r="L215" s="98">
        <v>101.879</v>
      </c>
      <c r="M215" s="98">
        <v>26.91</v>
      </c>
      <c r="N215" s="98">
        <v>334.02499999999998</v>
      </c>
      <c r="O215" s="98">
        <v>800.62200000000007</v>
      </c>
    </row>
    <row r="216" spans="1:15" x14ac:dyDescent="0.2">
      <c r="A216" s="153" t="s">
        <v>128</v>
      </c>
      <c r="B216" s="98">
        <v>597.40300000000002</v>
      </c>
      <c r="C216" s="98">
        <v>279.21499999999997</v>
      </c>
      <c r="D216" s="98">
        <v>171.86199999999999</v>
      </c>
      <c r="E216" s="98">
        <v>127.89699999999999</v>
      </c>
      <c r="F216" s="98">
        <v>109.02</v>
      </c>
      <c r="G216" s="98">
        <v>180.37100000000001</v>
      </c>
      <c r="H216" s="98">
        <v>33.183999999999997</v>
      </c>
      <c r="I216" s="98">
        <v>1498.952</v>
      </c>
      <c r="J216" s="98">
        <v>31.454000000000001</v>
      </c>
      <c r="K216" s="98">
        <v>594.95500000000004</v>
      </c>
      <c r="L216" s="98">
        <v>312.34199999999998</v>
      </c>
      <c r="M216" s="98">
        <v>97.733999999999995</v>
      </c>
      <c r="N216" s="98">
        <v>1036.4849999999999</v>
      </c>
      <c r="O216" s="98">
        <v>2535.4369999999999</v>
      </c>
    </row>
    <row r="217" spans="1:15" x14ac:dyDescent="0.2">
      <c r="A217" s="153" t="s">
        <v>135</v>
      </c>
      <c r="B217" s="98">
        <v>202.161</v>
      </c>
      <c r="C217" s="98">
        <v>97.650999999999996</v>
      </c>
      <c r="D217" s="98">
        <v>58.977000000000004</v>
      </c>
      <c r="E217" s="98">
        <v>44.779000000000003</v>
      </c>
      <c r="F217" s="98">
        <v>35.733000000000004</v>
      </c>
      <c r="G217" s="98">
        <v>61.231999999999999</v>
      </c>
      <c r="H217" s="98">
        <v>9.1609999999999996</v>
      </c>
      <c r="I217" s="98">
        <v>509.69400000000002</v>
      </c>
      <c r="J217" s="98">
        <v>23.32</v>
      </c>
      <c r="K217" s="98">
        <v>248.17099999999999</v>
      </c>
      <c r="L217" s="98">
        <v>123.65600000000001</v>
      </c>
      <c r="M217" s="98">
        <v>2.88</v>
      </c>
      <c r="N217" s="98">
        <v>398.02699999999999</v>
      </c>
      <c r="O217" s="98">
        <v>907.721</v>
      </c>
    </row>
    <row r="218" spans="1:15" x14ac:dyDescent="0.2">
      <c r="A218" s="153" t="s">
        <v>148</v>
      </c>
      <c r="B218" s="98">
        <v>183.80700000000002</v>
      </c>
      <c r="C218" s="98">
        <v>88.066000000000003</v>
      </c>
      <c r="D218" s="98">
        <v>52.945</v>
      </c>
      <c r="E218" s="98">
        <v>40.093000000000004</v>
      </c>
      <c r="F218" s="98">
        <v>32.225999999999999</v>
      </c>
      <c r="G218" s="98">
        <v>66.117999999999995</v>
      </c>
      <c r="H218" s="98">
        <v>9.4849999999999994</v>
      </c>
      <c r="I218" s="98">
        <v>472.74</v>
      </c>
      <c r="J218" s="98">
        <v>10.631</v>
      </c>
      <c r="K218" s="98">
        <v>227.251</v>
      </c>
      <c r="L218" s="98">
        <v>123.622</v>
      </c>
      <c r="M218" s="98">
        <v>22.526</v>
      </c>
      <c r="N218" s="98">
        <v>384.03</v>
      </c>
      <c r="O218" s="98">
        <v>856.77</v>
      </c>
    </row>
    <row r="219" spans="1:15" x14ac:dyDescent="0.2">
      <c r="A219" s="153" t="s">
        <v>87</v>
      </c>
      <c r="B219" s="98">
        <v>156.392</v>
      </c>
      <c r="C219" s="98">
        <v>69.935000000000002</v>
      </c>
      <c r="D219" s="98">
        <v>45.819000000000003</v>
      </c>
      <c r="E219" s="98">
        <v>33.874000000000002</v>
      </c>
      <c r="F219" s="98">
        <v>28.417000000000002</v>
      </c>
      <c r="G219" s="98">
        <v>59.554000000000002</v>
      </c>
      <c r="H219" s="98">
        <v>8.1379999999999999</v>
      </c>
      <c r="I219" s="98">
        <v>402.12900000000002</v>
      </c>
      <c r="J219" s="98">
        <v>8.8230000000000004</v>
      </c>
      <c r="K219" s="98">
        <v>183.46200000000002</v>
      </c>
      <c r="L219" s="98">
        <v>81.637</v>
      </c>
      <c r="M219" s="98">
        <v>17.815999999999999</v>
      </c>
      <c r="N219" s="98">
        <v>291.738</v>
      </c>
      <c r="O219" s="98">
        <v>693.86699999999996</v>
      </c>
    </row>
    <row r="220" spans="1:15" x14ac:dyDescent="0.2">
      <c r="A220" s="153" t="s">
        <v>129</v>
      </c>
      <c r="B220" s="98">
        <v>542.36</v>
      </c>
      <c r="C220" s="98">
        <v>255.65199999999999</v>
      </c>
      <c r="D220" s="98">
        <v>157.74099999999999</v>
      </c>
      <c r="E220" s="98">
        <v>118.74600000000001</v>
      </c>
      <c r="F220" s="98">
        <v>96.376000000000005</v>
      </c>
      <c r="G220" s="98">
        <v>186.904</v>
      </c>
      <c r="H220" s="98">
        <v>26.783999999999999</v>
      </c>
      <c r="I220" s="98">
        <v>1384.5630000000001</v>
      </c>
      <c r="J220" s="98">
        <v>42.774000000000001</v>
      </c>
      <c r="K220" s="98">
        <v>658.88400000000001</v>
      </c>
      <c r="L220" s="98">
        <v>328.91500000000002</v>
      </c>
      <c r="M220" s="98">
        <v>43.221999999999994</v>
      </c>
      <c r="N220" s="98">
        <v>1073.7950000000001</v>
      </c>
      <c r="O220" s="98">
        <v>2458.3580000000002</v>
      </c>
    </row>
    <row r="221" spans="1:15" x14ac:dyDescent="0.2">
      <c r="A221" s="86"/>
      <c r="B221" s="98"/>
      <c r="C221" s="98"/>
      <c r="D221" s="98"/>
      <c r="E221" s="98"/>
      <c r="F221" s="98"/>
      <c r="G221" s="98"/>
      <c r="H221" s="98"/>
      <c r="I221" s="98"/>
      <c r="J221" s="98"/>
      <c r="K221" s="98"/>
      <c r="L221" s="98"/>
      <c r="M221" s="98"/>
      <c r="N221" s="98"/>
      <c r="O221" s="98"/>
    </row>
    <row r="222" spans="1:15" x14ac:dyDescent="0.2">
      <c r="A222" s="86">
        <v>2013</v>
      </c>
      <c r="B222" s="98"/>
      <c r="C222" s="98"/>
      <c r="D222" s="98"/>
      <c r="E222" s="98"/>
      <c r="F222" s="98"/>
      <c r="G222" s="98"/>
      <c r="H222" s="98"/>
      <c r="I222" s="98"/>
      <c r="J222" s="98"/>
      <c r="K222" s="98"/>
      <c r="L222" s="98"/>
      <c r="M222" s="98"/>
      <c r="N222" s="98"/>
      <c r="O222" s="98"/>
    </row>
    <row r="223" spans="1:15" x14ac:dyDescent="0.2">
      <c r="A223" s="76" t="s">
        <v>74</v>
      </c>
      <c r="B223" s="98">
        <v>195.251</v>
      </c>
      <c r="C223" s="98">
        <v>97.862000000000009</v>
      </c>
      <c r="D223" s="98">
        <v>55.557000000000002</v>
      </c>
      <c r="E223" s="98">
        <v>44.917999999999999</v>
      </c>
      <c r="F223" s="98">
        <v>33.320999999999998</v>
      </c>
      <c r="G223" s="98">
        <v>72.290999999999997</v>
      </c>
      <c r="H223" s="98">
        <v>9.3990000000000009</v>
      </c>
      <c r="I223" s="98">
        <v>508.59899999999999</v>
      </c>
      <c r="J223" s="98">
        <v>8.3060000000000009</v>
      </c>
      <c r="K223" s="98">
        <v>186.70699999999999</v>
      </c>
      <c r="L223" s="98">
        <v>75.460999999999999</v>
      </c>
      <c r="M223" s="98">
        <v>20.971</v>
      </c>
      <c r="N223" s="98">
        <v>291.44499999999999</v>
      </c>
      <c r="O223" s="98">
        <v>800.04399999999998</v>
      </c>
    </row>
    <row r="224" spans="1:15" x14ac:dyDescent="0.2">
      <c r="A224" s="76" t="s">
        <v>140</v>
      </c>
      <c r="B224" s="98">
        <v>182.38200000000001</v>
      </c>
      <c r="C224" s="98">
        <v>90.373000000000005</v>
      </c>
      <c r="D224" s="98">
        <v>50.661000000000001</v>
      </c>
      <c r="E224" s="98">
        <v>44.027999999999999</v>
      </c>
      <c r="F224" s="98">
        <v>27.734999999999999</v>
      </c>
      <c r="G224" s="98">
        <v>60.804000000000002</v>
      </c>
      <c r="H224" s="98">
        <v>8.657</v>
      </c>
      <c r="I224" s="98">
        <v>464.64</v>
      </c>
      <c r="J224" s="98">
        <v>8.1020000000000003</v>
      </c>
      <c r="K224" s="98">
        <v>174.75700000000001</v>
      </c>
      <c r="L224" s="98">
        <v>75.602000000000004</v>
      </c>
      <c r="M224" s="98">
        <v>21.7</v>
      </c>
      <c r="N224" s="98">
        <v>280.161</v>
      </c>
      <c r="O224" s="98">
        <v>744.80100000000004</v>
      </c>
    </row>
    <row r="225" spans="1:15" x14ac:dyDescent="0.2">
      <c r="A225" s="76" t="s">
        <v>76</v>
      </c>
      <c r="B225" s="98">
        <v>190.52199999999999</v>
      </c>
      <c r="C225" s="98">
        <v>88.534000000000006</v>
      </c>
      <c r="D225" s="98">
        <v>56.039000000000001</v>
      </c>
      <c r="E225" s="98">
        <v>50.21</v>
      </c>
      <c r="F225" s="98">
        <v>32.335000000000001</v>
      </c>
      <c r="G225" s="98">
        <v>62.652000000000001</v>
      </c>
      <c r="H225" s="98">
        <v>9.9809999999999999</v>
      </c>
      <c r="I225" s="98">
        <v>490.27300000000002</v>
      </c>
      <c r="J225" s="98">
        <v>8.702</v>
      </c>
      <c r="K225" s="98">
        <v>206.78399999999999</v>
      </c>
      <c r="L225" s="98">
        <v>90.896000000000001</v>
      </c>
      <c r="M225" s="98">
        <v>32.119999999999997</v>
      </c>
      <c r="N225" s="98">
        <v>338.50200000000001</v>
      </c>
      <c r="O225" s="98">
        <v>828.77499999999998</v>
      </c>
    </row>
    <row r="226" spans="1:15" x14ac:dyDescent="0.2">
      <c r="A226" s="86" t="s">
        <v>126</v>
      </c>
      <c r="B226" s="98">
        <v>568.15499999999997</v>
      </c>
      <c r="C226" s="98">
        <v>276.76900000000001</v>
      </c>
      <c r="D226" s="98">
        <v>162.25700000000001</v>
      </c>
      <c r="E226" s="98">
        <v>139.15600000000001</v>
      </c>
      <c r="F226" s="98">
        <v>93.390999999999991</v>
      </c>
      <c r="G226" s="98">
        <v>195.74700000000001</v>
      </c>
      <c r="H226" s="98">
        <v>28.036999999999999</v>
      </c>
      <c r="I226" s="98">
        <v>1463.5120000000002</v>
      </c>
      <c r="J226" s="98">
        <v>25.11</v>
      </c>
      <c r="K226" s="98">
        <v>568.24800000000005</v>
      </c>
      <c r="L226" s="98">
        <v>241.959</v>
      </c>
      <c r="M226" s="98">
        <v>74.790999999999997</v>
      </c>
      <c r="N226" s="98">
        <v>910.10799999999995</v>
      </c>
      <c r="O226" s="98">
        <v>2373.62</v>
      </c>
    </row>
    <row r="227" spans="1:15" x14ac:dyDescent="0.2">
      <c r="A227" s="76" t="s">
        <v>78</v>
      </c>
      <c r="B227" s="98">
        <v>194.78900000000002</v>
      </c>
      <c r="C227" s="98">
        <v>96.247</v>
      </c>
      <c r="D227" s="98">
        <v>59.460999999999999</v>
      </c>
      <c r="E227" s="98">
        <v>52.181000000000004</v>
      </c>
      <c r="F227" s="98">
        <v>36.020000000000003</v>
      </c>
      <c r="G227" s="98">
        <v>61.825000000000003</v>
      </c>
      <c r="H227" s="98">
        <v>9.1530000000000005</v>
      </c>
      <c r="I227" s="98">
        <v>509.67599999999999</v>
      </c>
      <c r="J227" s="98">
        <v>9.479000000000001</v>
      </c>
      <c r="K227" s="98">
        <v>193.56200000000001</v>
      </c>
      <c r="L227" s="98">
        <v>79.233999999999995</v>
      </c>
      <c r="M227" s="98">
        <v>27.385000000000002</v>
      </c>
      <c r="N227" s="98">
        <v>309.66000000000003</v>
      </c>
      <c r="O227" s="98">
        <v>819.33600000000001</v>
      </c>
    </row>
    <row r="228" spans="1:15" x14ac:dyDescent="0.2">
      <c r="A228" s="153" t="s">
        <v>79</v>
      </c>
      <c r="B228" s="98">
        <v>191.99299999999999</v>
      </c>
      <c r="C228" s="98">
        <v>94.93</v>
      </c>
      <c r="D228" s="98">
        <v>61.167000000000002</v>
      </c>
      <c r="E228" s="98">
        <v>47.777999999999999</v>
      </c>
      <c r="F228" s="98">
        <v>35.047000000000004</v>
      </c>
      <c r="G228" s="98">
        <v>63.317999999999998</v>
      </c>
      <c r="H228" s="98">
        <v>10.201000000000001</v>
      </c>
      <c r="I228" s="98">
        <v>504.43400000000003</v>
      </c>
      <c r="J228" s="98">
        <v>9.734</v>
      </c>
      <c r="K228" s="98">
        <v>215.739</v>
      </c>
      <c r="L228" s="98">
        <v>91.626999999999995</v>
      </c>
      <c r="M228" s="98">
        <v>31.746000000000002</v>
      </c>
      <c r="N228" s="98">
        <v>348.846</v>
      </c>
      <c r="O228" s="98">
        <v>853.28</v>
      </c>
    </row>
    <row r="229" spans="1:15" x14ac:dyDescent="0.2">
      <c r="A229" s="153" t="s">
        <v>89</v>
      </c>
      <c r="B229" s="98">
        <v>193.29400000000001</v>
      </c>
      <c r="C229" s="98">
        <v>92.281000000000006</v>
      </c>
      <c r="D229" s="98">
        <v>57.719000000000001</v>
      </c>
      <c r="E229" s="98">
        <v>46.814999999999998</v>
      </c>
      <c r="F229" s="98">
        <v>33.597000000000001</v>
      </c>
      <c r="G229" s="98">
        <v>61</v>
      </c>
      <c r="H229" s="98">
        <v>8.7829999999999995</v>
      </c>
      <c r="I229" s="98">
        <v>493.48900000000003</v>
      </c>
      <c r="J229" s="98">
        <v>8.93</v>
      </c>
      <c r="K229" s="98">
        <v>202.001</v>
      </c>
      <c r="L229" s="98">
        <v>89.617999999999995</v>
      </c>
      <c r="M229" s="98">
        <v>35.664000000000001</v>
      </c>
      <c r="N229" s="98">
        <v>336.21300000000002</v>
      </c>
      <c r="O229" s="98">
        <v>829.702</v>
      </c>
    </row>
    <row r="230" spans="1:15" x14ac:dyDescent="0.2">
      <c r="A230" s="153" t="s">
        <v>127</v>
      </c>
      <c r="B230" s="98">
        <v>580.07600000000002</v>
      </c>
      <c r="C230" s="98">
        <v>283.45800000000003</v>
      </c>
      <c r="D230" s="98">
        <v>178.34700000000001</v>
      </c>
      <c r="E230" s="98">
        <v>146.774</v>
      </c>
      <c r="F230" s="98">
        <v>104.66400000000002</v>
      </c>
      <c r="G230" s="98">
        <v>186.143</v>
      </c>
      <c r="H230" s="98">
        <v>28.137</v>
      </c>
      <c r="I230" s="98">
        <v>1507.5990000000002</v>
      </c>
      <c r="J230" s="98">
        <v>28.143000000000001</v>
      </c>
      <c r="K230" s="98">
        <v>611.30200000000002</v>
      </c>
      <c r="L230" s="98">
        <v>260.47899999999998</v>
      </c>
      <c r="M230" s="98">
        <v>94.795000000000002</v>
      </c>
      <c r="N230" s="98">
        <v>994.71900000000005</v>
      </c>
      <c r="O230" s="98">
        <v>2502.3180000000002</v>
      </c>
    </row>
    <row r="231" spans="1:15" x14ac:dyDescent="0.2">
      <c r="A231" s="153" t="s">
        <v>90</v>
      </c>
      <c r="B231" s="98">
        <v>200.49700000000001</v>
      </c>
      <c r="C231" s="98">
        <v>99.040999999999997</v>
      </c>
      <c r="D231" s="98">
        <v>59.893000000000001</v>
      </c>
      <c r="E231" s="98">
        <v>47.695</v>
      </c>
      <c r="F231" s="98">
        <v>39.284999999999997</v>
      </c>
      <c r="G231" s="98">
        <v>64.23</v>
      </c>
      <c r="H231" s="98">
        <v>9.35</v>
      </c>
      <c r="I231" s="98">
        <v>519.99099999999999</v>
      </c>
      <c r="J231" s="98">
        <v>10.500999999999999</v>
      </c>
      <c r="K231" s="98">
        <v>207.136</v>
      </c>
      <c r="L231" s="98">
        <v>94.269000000000005</v>
      </c>
      <c r="M231" s="98">
        <v>31.655000000000001</v>
      </c>
      <c r="N231" s="98">
        <v>343.56100000000004</v>
      </c>
      <c r="O231" s="98">
        <v>863.55200000000002</v>
      </c>
    </row>
    <row r="232" spans="1:15" x14ac:dyDescent="0.2">
      <c r="A232" s="153" t="s">
        <v>81</v>
      </c>
      <c r="B232" s="98">
        <v>205.34</v>
      </c>
      <c r="C232" s="98">
        <v>104.425</v>
      </c>
      <c r="D232" s="98">
        <v>57.390999999999998</v>
      </c>
      <c r="E232" s="98">
        <v>43.228999999999999</v>
      </c>
      <c r="F232" s="98">
        <v>38.858000000000004</v>
      </c>
      <c r="G232" s="98">
        <v>63.553000000000004</v>
      </c>
      <c r="H232" s="98">
        <v>8.8800000000000008</v>
      </c>
      <c r="I232" s="98">
        <v>521.67600000000004</v>
      </c>
      <c r="J232" s="98">
        <v>9.8699999999999992</v>
      </c>
      <c r="K232" s="98">
        <v>229.57300000000001</v>
      </c>
      <c r="L232" s="98">
        <v>101.979</v>
      </c>
      <c r="M232" s="98">
        <v>32.716999999999999</v>
      </c>
      <c r="N232" s="98">
        <v>374.13900000000001</v>
      </c>
      <c r="O232" s="98">
        <v>895.81500000000005</v>
      </c>
    </row>
    <row r="233" spans="1:15" x14ac:dyDescent="0.2">
      <c r="A233" s="153" t="s">
        <v>82</v>
      </c>
      <c r="B233" s="98">
        <v>178.36099999999999</v>
      </c>
      <c r="C233" s="98">
        <v>97.542000000000002</v>
      </c>
      <c r="D233" s="98">
        <v>54.123000000000005</v>
      </c>
      <c r="E233" s="98">
        <v>41.914999999999999</v>
      </c>
      <c r="F233" s="98">
        <v>33.462000000000003</v>
      </c>
      <c r="G233" s="98">
        <v>70.137</v>
      </c>
      <c r="H233" s="98">
        <v>14.289</v>
      </c>
      <c r="I233" s="98">
        <v>489.82900000000001</v>
      </c>
      <c r="J233" s="98">
        <v>9.2989999999999995</v>
      </c>
      <c r="K233" s="98">
        <v>220.797</v>
      </c>
      <c r="L233" s="98">
        <v>93.087000000000003</v>
      </c>
      <c r="M233" s="98">
        <v>59.968000000000004</v>
      </c>
      <c r="N233" s="98">
        <v>383.15100000000001</v>
      </c>
      <c r="O233" s="98">
        <v>872.98</v>
      </c>
    </row>
    <row r="234" spans="1:15" x14ac:dyDescent="0.2">
      <c r="A234" s="153" t="s">
        <v>128</v>
      </c>
      <c r="B234" s="98">
        <v>584.19799999999998</v>
      </c>
      <c r="C234" s="98">
        <v>301.00800000000004</v>
      </c>
      <c r="D234" s="98">
        <v>171.40699999999998</v>
      </c>
      <c r="E234" s="98">
        <v>132.839</v>
      </c>
      <c r="F234" s="98">
        <v>111.605</v>
      </c>
      <c r="G234" s="98">
        <v>197.92</v>
      </c>
      <c r="H234" s="98">
        <v>32.518999999999998</v>
      </c>
      <c r="I234" s="98">
        <v>1531.4959999999999</v>
      </c>
      <c r="J234" s="98">
        <v>29.67</v>
      </c>
      <c r="K234" s="98">
        <v>657.50599999999997</v>
      </c>
      <c r="L234" s="98">
        <v>289.33499999999998</v>
      </c>
      <c r="M234" s="98">
        <v>124.34</v>
      </c>
      <c r="N234" s="98">
        <v>1100.8510000000001</v>
      </c>
      <c r="O234" s="98">
        <v>2632.3470000000002</v>
      </c>
    </row>
    <row r="235" spans="1:15" x14ac:dyDescent="0.2">
      <c r="A235" s="153" t="s">
        <v>135</v>
      </c>
      <c r="B235" s="98">
        <v>212.83100000000002</v>
      </c>
      <c r="C235" s="98">
        <v>104.517</v>
      </c>
      <c r="D235" s="98">
        <v>58.847999999999999</v>
      </c>
      <c r="E235" s="98">
        <v>47.867000000000004</v>
      </c>
      <c r="F235" s="98">
        <v>33.128999999999998</v>
      </c>
      <c r="G235" s="98">
        <v>56.755000000000003</v>
      </c>
      <c r="H235" s="98">
        <v>10.555</v>
      </c>
      <c r="I235" s="98">
        <v>524.50200000000007</v>
      </c>
      <c r="J235" s="98">
        <v>10.52</v>
      </c>
      <c r="K235" s="98">
        <v>231.06700000000001</v>
      </c>
      <c r="L235" s="98">
        <v>115.55500000000001</v>
      </c>
      <c r="M235" s="98">
        <v>39.534999999999997</v>
      </c>
      <c r="N235" s="98">
        <v>396.67700000000002</v>
      </c>
      <c r="O235" s="98">
        <v>921.17899999999997</v>
      </c>
    </row>
    <row r="236" spans="1:15" x14ac:dyDescent="0.2">
      <c r="A236" s="153" t="s">
        <v>148</v>
      </c>
      <c r="B236" s="98">
        <v>191.702</v>
      </c>
      <c r="C236" s="98">
        <v>103.816</v>
      </c>
      <c r="D236" s="98">
        <v>55.100999999999999</v>
      </c>
      <c r="E236" s="98">
        <v>45.433</v>
      </c>
      <c r="F236" s="98">
        <v>28.331</v>
      </c>
      <c r="G236" s="98">
        <v>67.918999999999997</v>
      </c>
      <c r="H236" s="98">
        <v>10.797000000000001</v>
      </c>
      <c r="I236" s="98">
        <v>503.09899999999999</v>
      </c>
      <c r="J236" s="98">
        <v>9.64</v>
      </c>
      <c r="K236" s="98">
        <v>194.14500000000001</v>
      </c>
      <c r="L236" s="98">
        <v>116.05200000000001</v>
      </c>
      <c r="M236" s="98">
        <v>27.215</v>
      </c>
      <c r="N236" s="98">
        <v>347.05200000000002</v>
      </c>
      <c r="O236" s="98">
        <v>850.15100000000007</v>
      </c>
    </row>
    <row r="237" spans="1:15" x14ac:dyDescent="0.2">
      <c r="A237" s="153" t="s">
        <v>87</v>
      </c>
      <c r="B237" s="98">
        <v>159.256</v>
      </c>
      <c r="C237" s="98">
        <v>79.781999999999996</v>
      </c>
      <c r="D237" s="98">
        <v>52.122999999999998</v>
      </c>
      <c r="E237" s="98">
        <v>34.895000000000003</v>
      </c>
      <c r="F237" s="98">
        <v>27.866</v>
      </c>
      <c r="G237" s="98">
        <v>55.777999999999999</v>
      </c>
      <c r="H237" s="98">
        <v>6.8790000000000004</v>
      </c>
      <c r="I237" s="98">
        <v>416.57900000000001</v>
      </c>
      <c r="J237" s="98">
        <v>8.4340000000000011</v>
      </c>
      <c r="K237" s="98">
        <v>165.114</v>
      </c>
      <c r="L237" s="98">
        <v>85.298000000000002</v>
      </c>
      <c r="M237" s="98">
        <v>32.021000000000001</v>
      </c>
      <c r="N237" s="98">
        <v>290.86700000000002</v>
      </c>
      <c r="O237" s="98">
        <v>707.44600000000003</v>
      </c>
    </row>
    <row r="238" spans="1:15" x14ac:dyDescent="0.2">
      <c r="A238" s="153" t="s">
        <v>129</v>
      </c>
      <c r="B238" s="98">
        <v>563.78899999999999</v>
      </c>
      <c r="C238" s="98">
        <v>288.11500000000001</v>
      </c>
      <c r="D238" s="98">
        <v>166.072</v>
      </c>
      <c r="E238" s="98">
        <v>128.19499999999999</v>
      </c>
      <c r="F238" s="98">
        <v>89.325999999999993</v>
      </c>
      <c r="G238" s="98">
        <v>180.452</v>
      </c>
      <c r="H238" s="98">
        <v>28.231000000000002</v>
      </c>
      <c r="I238" s="98">
        <v>1444.18</v>
      </c>
      <c r="J238" s="98">
        <v>28.594000000000001</v>
      </c>
      <c r="K238" s="98">
        <v>590.32600000000002</v>
      </c>
      <c r="L238" s="98">
        <v>316.90499999999997</v>
      </c>
      <c r="M238" s="98">
        <v>98.771000000000001</v>
      </c>
      <c r="N238" s="98">
        <v>1034.596</v>
      </c>
      <c r="O238" s="98">
        <v>2478.7759999999998</v>
      </c>
    </row>
    <row r="239" spans="1:15" x14ac:dyDescent="0.2">
      <c r="A239" s="86"/>
      <c r="B239" s="98"/>
      <c r="C239" s="98"/>
      <c r="D239" s="98"/>
      <c r="E239" s="98"/>
      <c r="F239" s="98"/>
      <c r="G239" s="98"/>
      <c r="H239" s="98"/>
      <c r="I239" s="98"/>
      <c r="J239" s="98"/>
      <c r="K239" s="98"/>
      <c r="L239" s="98"/>
      <c r="M239" s="98"/>
      <c r="N239" s="98"/>
      <c r="O239" s="98"/>
    </row>
    <row r="240" spans="1:15" x14ac:dyDescent="0.2">
      <c r="A240" s="86">
        <v>2014</v>
      </c>
      <c r="B240" s="98"/>
      <c r="C240" s="98"/>
      <c r="D240" s="98"/>
      <c r="E240" s="98"/>
      <c r="F240" s="98"/>
      <c r="G240" s="98"/>
      <c r="H240" s="98"/>
      <c r="I240" s="98"/>
      <c r="J240" s="98"/>
      <c r="K240" s="98"/>
      <c r="L240" s="98"/>
      <c r="M240" s="98"/>
      <c r="N240" s="98"/>
      <c r="O240" s="98"/>
    </row>
    <row r="241" spans="1:15" x14ac:dyDescent="0.2">
      <c r="A241" s="76" t="s">
        <v>74</v>
      </c>
      <c r="B241" s="98">
        <v>193.24</v>
      </c>
      <c r="C241" s="98">
        <v>88.3</v>
      </c>
      <c r="D241" s="98">
        <v>58.178000000000004</v>
      </c>
      <c r="E241" s="98">
        <v>47.39</v>
      </c>
      <c r="F241" s="98">
        <v>33.295000000000002</v>
      </c>
      <c r="G241" s="98">
        <v>61.12</v>
      </c>
      <c r="H241" s="98">
        <v>14.54</v>
      </c>
      <c r="I241" s="98">
        <v>496.06299999999999</v>
      </c>
      <c r="J241" s="98">
        <v>8.0990000000000002</v>
      </c>
      <c r="K241" s="98">
        <v>147.24299999999999</v>
      </c>
      <c r="L241" s="98">
        <v>75.004000000000005</v>
      </c>
      <c r="M241" s="98">
        <v>39.783999999999999</v>
      </c>
      <c r="N241" s="98">
        <v>270.13</v>
      </c>
      <c r="O241" s="98">
        <v>766.19299999999998</v>
      </c>
    </row>
    <row r="242" spans="1:15" x14ac:dyDescent="0.2">
      <c r="A242" s="76" t="s">
        <v>140</v>
      </c>
      <c r="B242" s="98">
        <v>187.173</v>
      </c>
      <c r="C242" s="98">
        <v>96.337000000000003</v>
      </c>
      <c r="D242" s="98">
        <v>60.564999999999998</v>
      </c>
      <c r="E242" s="98">
        <v>44.908999999999999</v>
      </c>
      <c r="F242" s="98">
        <v>29.882000000000001</v>
      </c>
      <c r="G242" s="98">
        <v>62.938000000000002</v>
      </c>
      <c r="H242" s="98">
        <v>9.1509999999999998</v>
      </c>
      <c r="I242" s="98">
        <v>490.95499999999998</v>
      </c>
      <c r="J242" s="98">
        <v>7.984</v>
      </c>
      <c r="K242" s="98">
        <v>171.077</v>
      </c>
      <c r="L242" s="98">
        <v>81.132999999999996</v>
      </c>
      <c r="M242" s="98">
        <v>45.029000000000003</v>
      </c>
      <c r="N242" s="98">
        <v>305.22300000000001</v>
      </c>
      <c r="O242" s="98">
        <v>796.178</v>
      </c>
    </row>
    <row r="243" spans="1:15" x14ac:dyDescent="0.2">
      <c r="A243" s="76" t="s">
        <v>76</v>
      </c>
      <c r="B243" s="98">
        <v>204.82599999999999</v>
      </c>
      <c r="C243" s="98">
        <v>99.954999999999998</v>
      </c>
      <c r="D243" s="98">
        <v>67.977000000000004</v>
      </c>
      <c r="E243" s="98">
        <v>55.164999999999999</v>
      </c>
      <c r="F243" s="98">
        <v>33.716000000000001</v>
      </c>
      <c r="G243" s="98">
        <v>69.927999999999997</v>
      </c>
      <c r="H243" s="98">
        <v>9.532</v>
      </c>
      <c r="I243" s="98">
        <v>541.09900000000005</v>
      </c>
      <c r="J243" s="98">
        <v>9.9710000000000001</v>
      </c>
      <c r="K243" s="98">
        <v>183.71299999999999</v>
      </c>
      <c r="L243" s="98">
        <v>92.147999999999996</v>
      </c>
      <c r="M243" s="98">
        <v>52.71</v>
      </c>
      <c r="N243" s="98">
        <v>338.54200000000003</v>
      </c>
      <c r="O243" s="98">
        <v>879.64099999999996</v>
      </c>
    </row>
    <row r="244" spans="1:15" x14ac:dyDescent="0.2">
      <c r="A244" s="86" t="s">
        <v>126</v>
      </c>
      <c r="B244" s="98">
        <v>585.23900000000003</v>
      </c>
      <c r="C244" s="98">
        <v>284.59199999999998</v>
      </c>
      <c r="D244" s="98">
        <v>186.72</v>
      </c>
      <c r="E244" s="98">
        <v>147.464</v>
      </c>
      <c r="F244" s="98">
        <v>97.039000000000016</v>
      </c>
      <c r="G244" s="98">
        <v>193.98599999999999</v>
      </c>
      <c r="H244" s="98">
        <v>33.222999999999999</v>
      </c>
      <c r="I244" s="98">
        <v>1528.2629999999999</v>
      </c>
      <c r="J244" s="98">
        <v>26.053999999999998</v>
      </c>
      <c r="K244" s="98">
        <v>502.03300000000002</v>
      </c>
      <c r="L244" s="98">
        <v>248.285</v>
      </c>
      <c r="M244" s="98">
        <v>137.523</v>
      </c>
      <c r="N244" s="98">
        <v>913.89499999999998</v>
      </c>
      <c r="O244" s="98">
        <v>2442.1579999999999</v>
      </c>
    </row>
    <row r="245" spans="1:15" x14ac:dyDescent="0.2">
      <c r="A245" s="76" t="s">
        <v>78</v>
      </c>
      <c r="B245" s="98">
        <v>212.018</v>
      </c>
      <c r="C245" s="98">
        <v>89.412999999999997</v>
      </c>
      <c r="D245" s="98">
        <v>67.596000000000004</v>
      </c>
      <c r="E245" s="98">
        <v>53.692</v>
      </c>
      <c r="F245" s="98">
        <v>31.875</v>
      </c>
      <c r="G245" s="98">
        <v>74.59</v>
      </c>
      <c r="H245" s="98">
        <v>9.891</v>
      </c>
      <c r="I245" s="98">
        <v>539.07500000000005</v>
      </c>
      <c r="J245" s="98">
        <v>8.8529999999999998</v>
      </c>
      <c r="K245" s="98">
        <v>161.86199999999999</v>
      </c>
      <c r="L245" s="98">
        <v>89.481999999999999</v>
      </c>
      <c r="M245" s="98">
        <v>50.744999999999997</v>
      </c>
      <c r="N245" s="98">
        <v>310.94200000000001</v>
      </c>
      <c r="O245" s="98">
        <v>850.01700000000005</v>
      </c>
    </row>
    <row r="246" spans="1:15" x14ac:dyDescent="0.2">
      <c r="A246" s="153" t="s">
        <v>79</v>
      </c>
      <c r="B246" s="98">
        <v>218.886</v>
      </c>
      <c r="C246" s="98">
        <v>99.191000000000003</v>
      </c>
      <c r="D246" s="98">
        <v>64.781999999999996</v>
      </c>
      <c r="E246" s="98">
        <v>57.942</v>
      </c>
      <c r="F246" s="98">
        <v>35.847999999999999</v>
      </c>
      <c r="G246" s="98">
        <v>74.299000000000007</v>
      </c>
      <c r="H246" s="98">
        <v>9.9150000000000009</v>
      </c>
      <c r="I246" s="98">
        <v>560.86300000000006</v>
      </c>
      <c r="J246" s="98">
        <v>9.6669999999999998</v>
      </c>
      <c r="K246" s="98">
        <v>175.41900000000001</v>
      </c>
      <c r="L246" s="98">
        <v>89.534999999999997</v>
      </c>
      <c r="M246" s="98">
        <v>31.587</v>
      </c>
      <c r="N246" s="98">
        <v>306.20800000000003</v>
      </c>
      <c r="O246" s="98">
        <v>867.07100000000003</v>
      </c>
    </row>
    <row r="247" spans="1:15" x14ac:dyDescent="0.2">
      <c r="A247" s="153" t="s">
        <v>89</v>
      </c>
      <c r="B247" s="98">
        <v>192.898</v>
      </c>
      <c r="C247" s="98">
        <v>100.614</v>
      </c>
      <c r="D247" s="98">
        <v>62.927</v>
      </c>
      <c r="E247" s="98">
        <v>56.672000000000004</v>
      </c>
      <c r="F247" s="98">
        <v>40.605000000000004</v>
      </c>
      <c r="G247" s="98">
        <v>72.820000000000007</v>
      </c>
      <c r="H247" s="98">
        <v>8.4920000000000009</v>
      </c>
      <c r="I247" s="98">
        <v>535.02800000000002</v>
      </c>
      <c r="J247" s="98">
        <v>9.8800000000000008</v>
      </c>
      <c r="K247" s="98">
        <v>192.58600000000001</v>
      </c>
      <c r="L247" s="98">
        <v>95.123000000000005</v>
      </c>
      <c r="M247" s="98">
        <v>37.779000000000003</v>
      </c>
      <c r="N247" s="98">
        <v>335.36799999999999</v>
      </c>
      <c r="O247" s="98">
        <v>870.39600000000007</v>
      </c>
    </row>
    <row r="248" spans="1:15" x14ac:dyDescent="0.2">
      <c r="A248" s="153" t="s">
        <v>127</v>
      </c>
      <c r="B248" s="98">
        <v>623.80200000000002</v>
      </c>
      <c r="C248" s="98">
        <v>289.21799999999996</v>
      </c>
      <c r="D248" s="98">
        <v>195.30499999999998</v>
      </c>
      <c r="E248" s="98">
        <v>168.30600000000001</v>
      </c>
      <c r="F248" s="98">
        <v>108.328</v>
      </c>
      <c r="G248" s="98">
        <v>221.709</v>
      </c>
      <c r="H248" s="98">
        <v>28.298000000000002</v>
      </c>
      <c r="I248" s="98">
        <v>1634.9660000000001</v>
      </c>
      <c r="J248" s="98">
        <v>28.4</v>
      </c>
      <c r="K248" s="98">
        <v>529.86699999999996</v>
      </c>
      <c r="L248" s="98">
        <v>274.14</v>
      </c>
      <c r="M248" s="98">
        <v>120.11100000000002</v>
      </c>
      <c r="N248" s="98">
        <v>952.51800000000003</v>
      </c>
      <c r="O248" s="98">
        <v>2587.4840000000004</v>
      </c>
    </row>
    <row r="249" spans="1:15" x14ac:dyDescent="0.2">
      <c r="A249" s="153" t="s">
        <v>90</v>
      </c>
      <c r="B249" s="98">
        <v>207.654</v>
      </c>
      <c r="C249" s="98">
        <v>93.350000000000009</v>
      </c>
      <c r="D249" s="98">
        <v>63.562000000000005</v>
      </c>
      <c r="E249" s="98">
        <v>57.230000000000004</v>
      </c>
      <c r="F249" s="98">
        <v>37.082000000000001</v>
      </c>
      <c r="G249" s="98">
        <v>76.78</v>
      </c>
      <c r="H249" s="98">
        <v>9.4700000000000006</v>
      </c>
      <c r="I249" s="98">
        <v>545.12800000000004</v>
      </c>
      <c r="J249" s="98">
        <v>10.137</v>
      </c>
      <c r="K249" s="98">
        <v>174.215</v>
      </c>
      <c r="L249" s="98">
        <v>105.334</v>
      </c>
      <c r="M249" s="98">
        <v>43.155999999999999</v>
      </c>
      <c r="N249" s="98">
        <v>332.84199999999998</v>
      </c>
      <c r="O249" s="98">
        <v>877.97</v>
      </c>
    </row>
    <row r="250" spans="1:15" x14ac:dyDescent="0.2">
      <c r="A250" s="153" t="s">
        <v>81</v>
      </c>
      <c r="B250" s="98">
        <v>202.209</v>
      </c>
      <c r="C250" s="98">
        <v>100.64100000000001</v>
      </c>
      <c r="D250" s="98">
        <v>61.420999999999999</v>
      </c>
      <c r="E250" s="98">
        <v>49.563000000000002</v>
      </c>
      <c r="F250" s="98">
        <v>40.614000000000004</v>
      </c>
      <c r="G250" s="98">
        <v>69.48</v>
      </c>
      <c r="H250" s="98">
        <v>8.49</v>
      </c>
      <c r="I250" s="98">
        <v>532.41800000000001</v>
      </c>
      <c r="J250" s="98">
        <v>11.170999999999999</v>
      </c>
      <c r="K250" s="98">
        <v>188.161</v>
      </c>
      <c r="L250" s="98">
        <v>99.888999999999996</v>
      </c>
      <c r="M250" s="98">
        <v>41.477000000000004</v>
      </c>
      <c r="N250" s="98">
        <v>340.69799999999998</v>
      </c>
      <c r="O250" s="98">
        <v>873.11599999999999</v>
      </c>
    </row>
    <row r="251" spans="1:15" x14ac:dyDescent="0.2">
      <c r="A251" s="153" t="s">
        <v>82</v>
      </c>
      <c r="B251" s="98">
        <v>212.67099999999999</v>
      </c>
      <c r="C251" s="98">
        <v>97.295000000000002</v>
      </c>
      <c r="D251" s="98">
        <v>66.188000000000002</v>
      </c>
      <c r="E251" s="98">
        <v>46.133000000000003</v>
      </c>
      <c r="F251" s="98">
        <v>41.798999999999999</v>
      </c>
      <c r="G251" s="98">
        <v>72.05</v>
      </c>
      <c r="H251" s="98">
        <v>10.172000000000001</v>
      </c>
      <c r="I251" s="98">
        <v>546.30799999999999</v>
      </c>
      <c r="J251" s="98">
        <v>10.699</v>
      </c>
      <c r="K251" s="98">
        <v>192.99299999999999</v>
      </c>
      <c r="L251" s="98">
        <v>112.11199999999999</v>
      </c>
      <c r="M251" s="98">
        <v>45.716000000000001</v>
      </c>
      <c r="N251" s="98">
        <v>361.52</v>
      </c>
      <c r="O251" s="98">
        <v>907.827</v>
      </c>
    </row>
    <row r="252" spans="1:15" x14ac:dyDescent="0.2">
      <c r="A252" s="153" t="s">
        <v>128</v>
      </c>
      <c r="B252" s="49">
        <v>622.53399999999999</v>
      </c>
      <c r="C252" s="49">
        <v>291.286</v>
      </c>
      <c r="D252" s="49">
        <v>191.17099999999999</v>
      </c>
      <c r="E252" s="49">
        <v>152.92600000000002</v>
      </c>
      <c r="F252" s="49">
        <v>119.495</v>
      </c>
      <c r="G252" s="49">
        <v>218.31</v>
      </c>
      <c r="H252" s="49">
        <v>28.132000000000001</v>
      </c>
      <c r="I252" s="49">
        <v>1623.854</v>
      </c>
      <c r="J252" s="49">
        <v>32.006999999999998</v>
      </c>
      <c r="K252" s="49">
        <v>555.36899999999991</v>
      </c>
      <c r="L252" s="49">
        <v>317.33500000000004</v>
      </c>
      <c r="M252" s="49">
        <v>130.34900000000002</v>
      </c>
      <c r="N252" s="49">
        <v>1035.06</v>
      </c>
      <c r="O252" s="49">
        <v>2658.913</v>
      </c>
    </row>
    <row r="253" spans="1:15" x14ac:dyDescent="0.2">
      <c r="A253" s="153" t="s">
        <v>135</v>
      </c>
      <c r="B253" s="49">
        <v>226.083</v>
      </c>
      <c r="C253" s="49">
        <v>108.861</v>
      </c>
      <c r="D253" s="49">
        <v>67.346999999999994</v>
      </c>
      <c r="E253" s="49">
        <v>50.838000000000001</v>
      </c>
      <c r="F253" s="49">
        <v>42.273000000000003</v>
      </c>
      <c r="G253" s="49">
        <v>78.951999999999998</v>
      </c>
      <c r="H253" s="49">
        <v>9.4890000000000008</v>
      </c>
      <c r="I253" s="49">
        <v>583.84300000000007</v>
      </c>
      <c r="J253" s="49">
        <v>11.082000000000001</v>
      </c>
      <c r="K253" s="49">
        <v>205.51</v>
      </c>
      <c r="L253" s="49">
        <v>133.56100000000001</v>
      </c>
      <c r="M253" s="49">
        <v>42.337000000000003</v>
      </c>
      <c r="N253" s="49">
        <v>392.49</v>
      </c>
      <c r="O253" s="49">
        <v>976.33300000000008</v>
      </c>
    </row>
    <row r="254" spans="1:15" x14ac:dyDescent="0.2">
      <c r="A254" s="153" t="s">
        <v>148</v>
      </c>
      <c r="B254" s="49">
        <v>196.68700000000001</v>
      </c>
      <c r="C254" s="49">
        <v>91.658000000000001</v>
      </c>
      <c r="D254" s="49">
        <v>56.435000000000002</v>
      </c>
      <c r="E254" s="49">
        <v>40.225999999999999</v>
      </c>
      <c r="F254" s="49">
        <v>32.524000000000001</v>
      </c>
      <c r="G254" s="49">
        <v>72.379000000000005</v>
      </c>
      <c r="H254" s="49">
        <v>9.0730000000000004</v>
      </c>
      <c r="I254" s="49">
        <v>498.98200000000003</v>
      </c>
      <c r="J254" s="49">
        <v>9.6530000000000005</v>
      </c>
      <c r="K254" s="49">
        <v>195.19300000000001</v>
      </c>
      <c r="L254" s="49">
        <v>115.063</v>
      </c>
      <c r="M254" s="49">
        <v>39.161000000000001</v>
      </c>
      <c r="N254" s="49">
        <v>359.07</v>
      </c>
      <c r="O254" s="49">
        <v>858.05200000000002</v>
      </c>
    </row>
    <row r="255" spans="1:15" x14ac:dyDescent="0.2">
      <c r="A255" s="153" t="s">
        <v>87</v>
      </c>
      <c r="B255" s="49">
        <v>180.75700000000001</v>
      </c>
      <c r="C255" s="49">
        <v>76.876000000000005</v>
      </c>
      <c r="D255" s="49">
        <v>58.527000000000001</v>
      </c>
      <c r="E255" s="49">
        <v>37.872</v>
      </c>
      <c r="F255" s="49">
        <v>34.463000000000001</v>
      </c>
      <c r="G255" s="49">
        <v>67.475999999999999</v>
      </c>
      <c r="H255" s="49">
        <v>9.6969999999999992</v>
      </c>
      <c r="I255" s="49">
        <v>465.66800000000006</v>
      </c>
      <c r="J255" s="49">
        <v>10.384</v>
      </c>
      <c r="K255" s="49">
        <v>162.95099999999999</v>
      </c>
      <c r="L255" s="49">
        <v>105.009</v>
      </c>
      <c r="M255" s="49">
        <v>33.44</v>
      </c>
      <c r="N255" s="49">
        <v>311.78399999999999</v>
      </c>
      <c r="O255" s="49">
        <v>777.452</v>
      </c>
    </row>
    <row r="256" spans="1:15" x14ac:dyDescent="0.2">
      <c r="A256" s="153" t="s">
        <v>129</v>
      </c>
      <c r="B256" s="49">
        <v>603.52700000000004</v>
      </c>
      <c r="C256" s="49">
        <v>277.39499999999998</v>
      </c>
      <c r="D256" s="49">
        <v>182.309</v>
      </c>
      <c r="E256" s="49">
        <v>128.93599999999998</v>
      </c>
      <c r="F256" s="49">
        <v>109.25999999999999</v>
      </c>
      <c r="G256" s="49">
        <v>218.80700000000002</v>
      </c>
      <c r="H256" s="49">
        <v>28.259</v>
      </c>
      <c r="I256" s="49">
        <v>1548.4930000000002</v>
      </c>
      <c r="J256" s="49">
        <v>31.119</v>
      </c>
      <c r="K256" s="49">
        <v>563.654</v>
      </c>
      <c r="L256" s="49">
        <v>353.63300000000004</v>
      </c>
      <c r="M256" s="49">
        <v>114.938</v>
      </c>
      <c r="N256" s="49">
        <v>1063.3440000000001</v>
      </c>
      <c r="O256" s="49">
        <v>2611.8370000000004</v>
      </c>
    </row>
    <row r="257" spans="1:16" x14ac:dyDescent="0.2">
      <c r="A257" s="86"/>
    </row>
    <row r="258" spans="1:16" x14ac:dyDescent="0.2">
      <c r="A258" s="86">
        <v>2015</v>
      </c>
    </row>
    <row r="259" spans="1:16" x14ac:dyDescent="0.2">
      <c r="A259" s="76" t="s">
        <v>74</v>
      </c>
      <c r="B259" s="49">
        <v>206.45</v>
      </c>
      <c r="C259" s="49">
        <v>87.802999999999997</v>
      </c>
      <c r="D259" s="49">
        <v>56.316000000000003</v>
      </c>
      <c r="E259" s="49">
        <v>51.292000000000002</v>
      </c>
      <c r="F259" s="49">
        <v>36.258000000000003</v>
      </c>
      <c r="G259" s="49">
        <v>65.305999999999997</v>
      </c>
      <c r="H259" s="49">
        <v>12.670999999999999</v>
      </c>
      <c r="I259" s="49">
        <v>516.096</v>
      </c>
      <c r="J259" s="49">
        <v>7.3780000000000001</v>
      </c>
      <c r="K259" s="49">
        <v>147.643</v>
      </c>
      <c r="L259" s="49">
        <v>79.805999999999997</v>
      </c>
      <c r="M259" s="49">
        <v>36.942999999999998</v>
      </c>
      <c r="N259" s="49">
        <v>271.77</v>
      </c>
      <c r="O259" s="49">
        <v>787.86599999999999</v>
      </c>
      <c r="P259" s="99"/>
    </row>
    <row r="260" spans="1:16" x14ac:dyDescent="0.2">
      <c r="A260" s="76" t="s">
        <v>140</v>
      </c>
      <c r="B260" s="49">
        <v>188.36699999999999</v>
      </c>
      <c r="C260" s="49">
        <v>86.15</v>
      </c>
      <c r="D260" s="49">
        <v>60.151000000000003</v>
      </c>
      <c r="E260" s="49">
        <v>45.442999999999998</v>
      </c>
      <c r="F260" s="49">
        <v>32.402999999999999</v>
      </c>
      <c r="G260" s="49">
        <v>68.210999999999999</v>
      </c>
      <c r="H260" s="49">
        <v>12.180999999999999</v>
      </c>
      <c r="I260" s="49">
        <v>492.90600000000001</v>
      </c>
      <c r="J260" s="49">
        <v>6.6859999999999999</v>
      </c>
      <c r="K260" s="49">
        <v>155.774</v>
      </c>
      <c r="L260" s="49">
        <v>81.073999999999998</v>
      </c>
      <c r="M260" s="49">
        <v>34.493000000000002</v>
      </c>
      <c r="N260" s="49">
        <v>278.02699999999999</v>
      </c>
      <c r="O260" s="49">
        <v>770.93299999999999</v>
      </c>
      <c r="P260" s="99"/>
    </row>
    <row r="261" spans="1:16" x14ac:dyDescent="0.2">
      <c r="A261" s="76" t="s">
        <v>76</v>
      </c>
      <c r="B261" s="49">
        <v>225.458</v>
      </c>
      <c r="C261" s="49">
        <v>97.418000000000006</v>
      </c>
      <c r="D261" s="49">
        <v>70.335999999999999</v>
      </c>
      <c r="E261" s="49">
        <v>52.753999999999998</v>
      </c>
      <c r="F261" s="49">
        <v>38.472999999999999</v>
      </c>
      <c r="G261" s="49">
        <v>72.459000000000003</v>
      </c>
      <c r="H261" s="49">
        <v>14.129</v>
      </c>
      <c r="I261" s="49">
        <v>571.02700000000004</v>
      </c>
      <c r="J261" s="49">
        <v>8.1890000000000001</v>
      </c>
      <c r="K261" s="49">
        <v>182.15100000000001</v>
      </c>
      <c r="L261" s="49">
        <v>103.255</v>
      </c>
      <c r="M261" s="49">
        <v>34.200000000000003</v>
      </c>
      <c r="N261" s="49">
        <v>327.79500000000002</v>
      </c>
      <c r="O261" s="49">
        <v>898.82200000000012</v>
      </c>
      <c r="P261" s="99"/>
    </row>
    <row r="262" spans="1:16" x14ac:dyDescent="0.2">
      <c r="A262" s="86" t="s">
        <v>126</v>
      </c>
      <c r="B262" s="49">
        <v>620.27499999999998</v>
      </c>
      <c r="C262" s="49">
        <v>271.37099999999998</v>
      </c>
      <c r="D262" s="49">
        <v>186.803</v>
      </c>
      <c r="E262" s="49">
        <v>149.489</v>
      </c>
      <c r="F262" s="49">
        <v>107.134</v>
      </c>
      <c r="G262" s="49">
        <v>205.976</v>
      </c>
      <c r="H262" s="49">
        <v>38.980999999999995</v>
      </c>
      <c r="I262" s="49">
        <v>1580.029</v>
      </c>
      <c r="J262" s="49">
        <v>22.253</v>
      </c>
      <c r="K262" s="49">
        <v>485.56800000000004</v>
      </c>
      <c r="L262" s="49">
        <v>264.13499999999999</v>
      </c>
      <c r="M262" s="49">
        <v>105.63600000000001</v>
      </c>
      <c r="N262" s="49">
        <v>877.5920000000001</v>
      </c>
      <c r="O262" s="49">
        <v>2457.6210000000001</v>
      </c>
      <c r="P262" s="99"/>
    </row>
    <row r="263" spans="1:16" x14ac:dyDescent="0.2">
      <c r="A263" s="76" t="s">
        <v>78</v>
      </c>
      <c r="B263" s="49">
        <v>200.25700000000001</v>
      </c>
      <c r="C263" s="49">
        <v>98.981999999999999</v>
      </c>
      <c r="D263" s="49">
        <v>65.123999999999995</v>
      </c>
      <c r="E263" s="49">
        <v>49.595999999999997</v>
      </c>
      <c r="F263" s="49">
        <v>39.411000000000001</v>
      </c>
      <c r="G263" s="49">
        <v>64.55</v>
      </c>
      <c r="H263" s="49">
        <v>12.93</v>
      </c>
      <c r="I263" s="49">
        <v>530.85</v>
      </c>
      <c r="J263" s="49">
        <v>8.0519999999999996</v>
      </c>
      <c r="K263" s="49">
        <v>174.06200000000001</v>
      </c>
      <c r="L263" s="49">
        <v>90.090999999999994</v>
      </c>
      <c r="M263" s="49">
        <v>29.423999999999999</v>
      </c>
      <c r="N263" s="49">
        <v>301.62899999999996</v>
      </c>
      <c r="O263" s="49">
        <v>832.47900000000004</v>
      </c>
      <c r="P263" s="99"/>
    </row>
    <row r="264" spans="1:16" x14ac:dyDescent="0.2">
      <c r="A264" s="153" t="s">
        <v>79</v>
      </c>
      <c r="B264" s="49">
        <v>190.00399999999999</v>
      </c>
      <c r="C264" s="49">
        <v>94.361999999999995</v>
      </c>
      <c r="D264" s="49">
        <v>61.018999999999998</v>
      </c>
      <c r="E264" s="49">
        <v>192.41900000000001</v>
      </c>
      <c r="F264" s="49">
        <v>40.423000000000002</v>
      </c>
      <c r="G264" s="49">
        <v>64.081000000000003</v>
      </c>
      <c r="H264" s="49">
        <v>13.134</v>
      </c>
      <c r="I264" s="49">
        <v>655.44200000000001</v>
      </c>
      <c r="J264" s="49">
        <v>8.1170000000000009</v>
      </c>
      <c r="K264" s="49">
        <v>183.02600000000001</v>
      </c>
      <c r="L264" s="49">
        <v>94.069000000000003</v>
      </c>
      <c r="M264" s="49">
        <v>30.831</v>
      </c>
      <c r="N264" s="49">
        <v>316.04300000000001</v>
      </c>
      <c r="O264" s="49">
        <v>971.48500000000001</v>
      </c>
      <c r="P264" s="99"/>
    </row>
    <row r="265" spans="1:16" x14ac:dyDescent="0.2">
      <c r="A265" s="153" t="s">
        <v>89</v>
      </c>
      <c r="B265" s="49">
        <v>189.02</v>
      </c>
      <c r="C265" s="49">
        <v>102.92700000000001</v>
      </c>
      <c r="D265" s="49">
        <v>66.114999999999995</v>
      </c>
      <c r="E265" s="49">
        <v>53.2</v>
      </c>
      <c r="F265" s="49">
        <v>40.991999999999997</v>
      </c>
      <c r="G265" s="49">
        <v>58.53</v>
      </c>
      <c r="H265" s="49">
        <v>14.093999999999999</v>
      </c>
      <c r="I265" s="49">
        <v>524.87800000000004</v>
      </c>
      <c r="J265" s="49">
        <v>8.8989999999999991</v>
      </c>
      <c r="K265" s="49">
        <v>176.828</v>
      </c>
      <c r="L265" s="49">
        <v>111.387</v>
      </c>
      <c r="M265" s="49">
        <v>55.550000000000004</v>
      </c>
      <c r="N265" s="49">
        <v>352.66400000000004</v>
      </c>
      <c r="O265" s="49">
        <v>877.54200000000014</v>
      </c>
      <c r="P265" s="99"/>
    </row>
    <row r="266" spans="1:16" x14ac:dyDescent="0.2">
      <c r="A266" s="153" t="s">
        <v>127</v>
      </c>
      <c r="B266" s="49">
        <v>579.28099999999995</v>
      </c>
      <c r="C266" s="49">
        <v>296.27100000000002</v>
      </c>
      <c r="D266" s="49">
        <v>192.25799999999998</v>
      </c>
      <c r="E266" s="49">
        <v>295.21500000000003</v>
      </c>
      <c r="F266" s="49">
        <v>120.82599999999999</v>
      </c>
      <c r="G266" s="49">
        <v>187.161</v>
      </c>
      <c r="H266" s="49">
        <v>40.158000000000001</v>
      </c>
      <c r="I266" s="49">
        <v>1711.17</v>
      </c>
      <c r="J266" s="49">
        <v>25.067999999999998</v>
      </c>
      <c r="K266" s="49">
        <v>533.91600000000005</v>
      </c>
      <c r="L266" s="49">
        <v>295.54700000000003</v>
      </c>
      <c r="M266" s="49">
        <v>115.80500000000001</v>
      </c>
      <c r="N266" s="49">
        <v>970.33600000000001</v>
      </c>
      <c r="O266" s="49">
        <v>2681.5060000000003</v>
      </c>
      <c r="P266" s="99"/>
    </row>
    <row r="267" spans="1:16" x14ac:dyDescent="0.2">
      <c r="A267" s="153" t="s">
        <v>90</v>
      </c>
      <c r="B267" s="49">
        <v>203.83</v>
      </c>
      <c r="C267" s="49">
        <v>108.241</v>
      </c>
      <c r="D267" s="49">
        <v>69.703000000000003</v>
      </c>
      <c r="E267" s="49">
        <v>60.154000000000003</v>
      </c>
      <c r="F267" s="49">
        <v>39.383000000000003</v>
      </c>
      <c r="G267" s="49">
        <v>70.14</v>
      </c>
      <c r="H267" s="49">
        <v>13.648</v>
      </c>
      <c r="I267" s="49">
        <v>565.09900000000005</v>
      </c>
      <c r="J267" s="49">
        <v>8.4830000000000005</v>
      </c>
      <c r="K267" s="49">
        <v>182.12799999999999</v>
      </c>
      <c r="L267" s="49">
        <v>105.10599999999999</v>
      </c>
      <c r="M267" s="49">
        <v>32.662999999999997</v>
      </c>
      <c r="N267" s="49">
        <v>328.38</v>
      </c>
      <c r="O267" s="49">
        <v>893.47900000000004</v>
      </c>
      <c r="P267" s="99"/>
    </row>
    <row r="268" spans="1:16" x14ac:dyDescent="0.2">
      <c r="A268" s="153" t="s">
        <v>81</v>
      </c>
      <c r="B268" s="49">
        <v>201.65199999999999</v>
      </c>
      <c r="C268" s="49">
        <v>102.971</v>
      </c>
      <c r="D268" s="49">
        <v>68.042000000000002</v>
      </c>
      <c r="E268" s="49">
        <v>63.146999999999998</v>
      </c>
      <c r="F268" s="49">
        <v>43.383000000000003</v>
      </c>
      <c r="G268" s="49">
        <v>70.010000000000005</v>
      </c>
      <c r="H268" s="49">
        <v>13.308999999999999</v>
      </c>
      <c r="I268" s="49">
        <v>562.5139999999999</v>
      </c>
      <c r="J268" s="49">
        <v>9.7550000000000008</v>
      </c>
      <c r="K268" s="49">
        <v>174.976</v>
      </c>
      <c r="L268" s="49">
        <v>109.85899999999999</v>
      </c>
      <c r="M268" s="49">
        <v>35.177</v>
      </c>
      <c r="N268" s="49">
        <v>329.767</v>
      </c>
      <c r="O268" s="49">
        <v>892.28099999999995</v>
      </c>
      <c r="P268" s="99"/>
    </row>
    <row r="269" spans="1:16" x14ac:dyDescent="0.2">
      <c r="A269" s="153" t="s">
        <v>82</v>
      </c>
      <c r="B269" s="49">
        <v>209.298</v>
      </c>
      <c r="C269" s="49">
        <v>103.798</v>
      </c>
      <c r="D269" s="49">
        <v>65.349000000000004</v>
      </c>
      <c r="E269" s="49">
        <v>55.223999999999997</v>
      </c>
      <c r="F269" s="49">
        <v>43.823</v>
      </c>
      <c r="G269" s="49">
        <v>63.305</v>
      </c>
      <c r="H269" s="49">
        <v>12.564</v>
      </c>
      <c r="I269" s="49">
        <v>553.36099999999988</v>
      </c>
      <c r="J269" s="49">
        <v>9.7629999999999999</v>
      </c>
      <c r="K269" s="49">
        <v>181.03100000000001</v>
      </c>
      <c r="L269" s="49">
        <v>118.093</v>
      </c>
      <c r="M269" s="49">
        <v>30.328000000000003</v>
      </c>
      <c r="N269" s="49">
        <v>339.21500000000003</v>
      </c>
      <c r="O269" s="49">
        <v>892.57599999999991</v>
      </c>
      <c r="P269" s="99"/>
    </row>
    <row r="270" spans="1:16" x14ac:dyDescent="0.2">
      <c r="A270" s="153" t="s">
        <v>128</v>
      </c>
      <c r="B270" s="49">
        <v>614.78</v>
      </c>
      <c r="C270" s="49">
        <v>315.01</v>
      </c>
      <c r="D270" s="49">
        <v>203.09399999999999</v>
      </c>
      <c r="E270" s="49">
        <v>178.52500000000001</v>
      </c>
      <c r="F270" s="49">
        <v>126.589</v>
      </c>
      <c r="G270" s="49">
        <v>203.45500000000001</v>
      </c>
      <c r="H270" s="49">
        <v>39.521000000000001</v>
      </c>
      <c r="I270" s="49">
        <v>1680.9739999999997</v>
      </c>
      <c r="J270" s="49">
        <v>28.000999999999998</v>
      </c>
      <c r="K270" s="49">
        <v>538.13499999999999</v>
      </c>
      <c r="L270" s="49">
        <v>333.05799999999999</v>
      </c>
      <c r="M270" s="49">
        <v>98.168000000000006</v>
      </c>
      <c r="N270" s="49">
        <v>997.36199999999997</v>
      </c>
      <c r="O270" s="49">
        <v>2678.3359999999998</v>
      </c>
      <c r="P270" s="99"/>
    </row>
    <row r="271" spans="1:16" x14ac:dyDescent="0.2">
      <c r="A271" s="153" t="s">
        <v>135</v>
      </c>
      <c r="B271" s="49">
        <v>202.27799999999999</v>
      </c>
      <c r="C271" s="49">
        <v>99.031999999999996</v>
      </c>
      <c r="D271" s="49">
        <v>66.399000000000001</v>
      </c>
      <c r="E271" s="49">
        <v>54.517000000000003</v>
      </c>
      <c r="F271" s="49">
        <v>43.337000000000003</v>
      </c>
      <c r="G271" s="49">
        <v>60.027000000000001</v>
      </c>
      <c r="H271" s="49">
        <v>12.298999999999999</v>
      </c>
      <c r="I271" s="49">
        <v>537.88900000000001</v>
      </c>
      <c r="J271" s="49">
        <v>9.5250000000000004</v>
      </c>
      <c r="K271" s="49">
        <v>182.655</v>
      </c>
      <c r="L271" s="49">
        <v>122.30500000000001</v>
      </c>
      <c r="M271" s="49">
        <v>22.478999999999999</v>
      </c>
      <c r="N271" s="49">
        <v>336.964</v>
      </c>
      <c r="O271" s="49">
        <v>874.85300000000007</v>
      </c>
      <c r="P271" s="99"/>
    </row>
    <row r="272" spans="1:16" x14ac:dyDescent="0.2">
      <c r="A272" s="153" t="s">
        <v>148</v>
      </c>
      <c r="B272" s="49">
        <v>193.52699999999999</v>
      </c>
      <c r="C272" s="49">
        <v>103.69799999999999</v>
      </c>
      <c r="D272" s="49">
        <v>59.31</v>
      </c>
      <c r="E272" s="49">
        <v>23.727</v>
      </c>
      <c r="F272" s="49">
        <v>39.640999999999998</v>
      </c>
      <c r="G272" s="49">
        <v>73.397999999999996</v>
      </c>
      <c r="H272" s="49">
        <v>14.648</v>
      </c>
      <c r="I272" s="49">
        <v>507.94899999999996</v>
      </c>
      <c r="J272" s="49">
        <v>8.9789999999999992</v>
      </c>
      <c r="K272" s="49">
        <v>180.91300000000001</v>
      </c>
      <c r="L272" s="49">
        <v>111.139</v>
      </c>
      <c r="M272" s="49">
        <v>24.526</v>
      </c>
      <c r="N272" s="49">
        <v>325.55700000000002</v>
      </c>
      <c r="O272" s="49">
        <v>833.50599999999997</v>
      </c>
      <c r="P272" s="99"/>
    </row>
    <row r="273" spans="1:19" x14ac:dyDescent="0.2">
      <c r="A273" s="153" t="s">
        <v>87</v>
      </c>
      <c r="B273" s="49">
        <v>180.82900000000001</v>
      </c>
      <c r="C273" s="49">
        <v>86.852999999999994</v>
      </c>
      <c r="D273" s="49">
        <v>56.334000000000003</v>
      </c>
      <c r="E273" s="49">
        <v>53.661000000000001</v>
      </c>
      <c r="F273" s="49">
        <v>35.372999999999998</v>
      </c>
      <c r="G273" s="49">
        <v>61.325000000000003</v>
      </c>
      <c r="H273" s="49">
        <v>16.122</v>
      </c>
      <c r="I273" s="49">
        <v>490.49700000000001</v>
      </c>
      <c r="J273" s="49">
        <v>9.5440000000000005</v>
      </c>
      <c r="K273" s="49">
        <v>165.28899999999999</v>
      </c>
      <c r="L273" s="49">
        <v>103.395</v>
      </c>
      <c r="M273" s="49">
        <v>45.972000000000001</v>
      </c>
      <c r="N273" s="49">
        <v>324.2</v>
      </c>
      <c r="O273" s="49">
        <v>814.697</v>
      </c>
      <c r="P273" s="99"/>
    </row>
    <row r="274" spans="1:19" x14ac:dyDescent="0.2">
      <c r="A274" s="153" t="s">
        <v>129</v>
      </c>
      <c r="B274" s="49">
        <v>576.63400000000001</v>
      </c>
      <c r="C274" s="49">
        <v>289.58299999999997</v>
      </c>
      <c r="D274" s="49">
        <v>182.04300000000001</v>
      </c>
      <c r="E274" s="49">
        <v>131.905</v>
      </c>
      <c r="F274" s="49">
        <v>118.351</v>
      </c>
      <c r="G274" s="49">
        <v>194.75</v>
      </c>
      <c r="H274" s="49">
        <v>43.069000000000003</v>
      </c>
      <c r="I274" s="49">
        <v>1536.335</v>
      </c>
      <c r="J274" s="49">
        <v>28.047999999999998</v>
      </c>
      <c r="K274" s="49">
        <v>528.85699999999997</v>
      </c>
      <c r="L274" s="49">
        <v>336.839</v>
      </c>
      <c r="M274" s="49">
        <v>92.977000000000004</v>
      </c>
      <c r="N274" s="49">
        <v>986.721</v>
      </c>
      <c r="O274" s="49">
        <v>2523.056</v>
      </c>
      <c r="P274" s="99"/>
    </row>
    <row r="275" spans="1:19" x14ac:dyDescent="0.2">
      <c r="A275" s="86"/>
      <c r="P275" s="99"/>
    </row>
    <row r="276" spans="1:19" x14ac:dyDescent="0.2">
      <c r="A276" s="86">
        <v>2016</v>
      </c>
      <c r="P276" s="99"/>
    </row>
    <row r="277" spans="1:19" x14ac:dyDescent="0.2">
      <c r="A277" s="76" t="s">
        <v>74</v>
      </c>
      <c r="B277" s="49">
        <v>209.298</v>
      </c>
      <c r="C277" s="49">
        <v>103.798</v>
      </c>
      <c r="D277" s="49">
        <v>65.349000000000004</v>
      </c>
      <c r="E277" s="49">
        <v>55.223999999999997</v>
      </c>
      <c r="F277" s="49">
        <v>43.823</v>
      </c>
      <c r="G277" s="49">
        <v>63.305</v>
      </c>
      <c r="H277" s="49">
        <v>12.564</v>
      </c>
      <c r="I277" s="49">
        <v>553.36099999999988</v>
      </c>
      <c r="J277" s="49">
        <v>9.7629999999999999</v>
      </c>
      <c r="K277" s="49">
        <v>181.03100000000001</v>
      </c>
      <c r="L277" s="49">
        <v>118.093</v>
      </c>
      <c r="M277" s="49">
        <v>30.327999999999999</v>
      </c>
      <c r="N277" s="49">
        <v>339.21499999999997</v>
      </c>
      <c r="O277" s="49">
        <v>892.57599999999979</v>
      </c>
      <c r="P277" s="99"/>
    </row>
    <row r="278" spans="1:19" x14ac:dyDescent="0.2">
      <c r="A278" s="76" t="s">
        <v>140</v>
      </c>
      <c r="B278" s="49">
        <v>200.333</v>
      </c>
      <c r="C278" s="49">
        <v>96.88</v>
      </c>
      <c r="D278" s="49">
        <v>58.997999999999998</v>
      </c>
      <c r="E278" s="49">
        <v>62.228999999999999</v>
      </c>
      <c r="F278" s="49">
        <v>33.661000000000001</v>
      </c>
      <c r="G278" s="49">
        <v>69.468999999999994</v>
      </c>
      <c r="H278" s="49">
        <v>13.263999999999999</v>
      </c>
      <c r="I278" s="49">
        <v>534.83399999999995</v>
      </c>
      <c r="J278" s="49">
        <v>6.98</v>
      </c>
      <c r="K278" s="49">
        <v>181.624</v>
      </c>
      <c r="L278" s="49">
        <v>88.822999999999993</v>
      </c>
      <c r="M278" s="49">
        <v>30.564999999999998</v>
      </c>
      <c r="N278" s="49">
        <v>307.99199999999996</v>
      </c>
      <c r="O278" s="49">
        <v>842.82599999999991</v>
      </c>
      <c r="P278" s="99"/>
    </row>
    <row r="279" spans="1:19" x14ac:dyDescent="0.2">
      <c r="A279" s="76" t="s">
        <v>76</v>
      </c>
      <c r="B279" s="49">
        <v>210.119</v>
      </c>
      <c r="C279" s="49">
        <v>100.194</v>
      </c>
      <c r="D279" s="49">
        <v>65.588999999999999</v>
      </c>
      <c r="E279" s="49">
        <v>62.738</v>
      </c>
      <c r="F279" s="49">
        <v>34.921999999999997</v>
      </c>
      <c r="G279" s="49">
        <v>78.325000000000003</v>
      </c>
      <c r="H279" s="49">
        <v>16.556999999999999</v>
      </c>
      <c r="I279" s="49">
        <v>568.44400000000007</v>
      </c>
      <c r="J279" s="49">
        <v>8.1310000000000002</v>
      </c>
      <c r="K279" s="49">
        <v>187.71100000000001</v>
      </c>
      <c r="L279" s="49">
        <v>100.851</v>
      </c>
      <c r="M279" s="49">
        <v>33.866</v>
      </c>
      <c r="N279" s="49">
        <v>330.55899999999997</v>
      </c>
      <c r="O279" s="49">
        <v>899.00300000000004</v>
      </c>
      <c r="P279" s="99"/>
    </row>
    <row r="280" spans="1:19" x14ac:dyDescent="0.2">
      <c r="A280" s="86" t="s">
        <v>126</v>
      </c>
      <c r="B280" s="49">
        <v>619.75</v>
      </c>
      <c r="C280" s="49">
        <v>300.87200000000001</v>
      </c>
      <c r="D280" s="49">
        <v>189.93600000000001</v>
      </c>
      <c r="E280" s="49">
        <v>180.191</v>
      </c>
      <c r="F280" s="49">
        <v>112.40600000000001</v>
      </c>
      <c r="G280" s="49">
        <v>211.09899999999999</v>
      </c>
      <c r="H280" s="49">
        <v>42.384999999999998</v>
      </c>
      <c r="I280" s="49">
        <v>1656.6389999999997</v>
      </c>
      <c r="J280" s="49">
        <v>24.874000000000002</v>
      </c>
      <c r="K280" s="49">
        <v>550.36599999999999</v>
      </c>
      <c r="L280" s="49">
        <v>307.767</v>
      </c>
      <c r="M280" s="49">
        <v>94.759</v>
      </c>
      <c r="N280" s="49">
        <v>977.76599999999985</v>
      </c>
      <c r="O280" s="49">
        <v>2634.4049999999997</v>
      </c>
      <c r="P280" s="99"/>
    </row>
    <row r="281" spans="1:19" x14ac:dyDescent="0.2">
      <c r="A281" s="76" t="s">
        <v>78</v>
      </c>
      <c r="B281" s="49">
        <v>203.255</v>
      </c>
      <c r="C281" s="49">
        <v>98.793000000000006</v>
      </c>
      <c r="D281" s="49">
        <v>64.14</v>
      </c>
      <c r="E281" s="49">
        <v>56.865000000000002</v>
      </c>
      <c r="F281" s="49">
        <v>33.576999999999998</v>
      </c>
      <c r="G281" s="49">
        <v>72.927000000000007</v>
      </c>
      <c r="H281" s="49">
        <v>15.276999999999999</v>
      </c>
      <c r="I281" s="49">
        <v>544.83400000000006</v>
      </c>
      <c r="J281" s="49">
        <v>7.3520000000000003</v>
      </c>
      <c r="K281" s="49">
        <v>169.38200000000001</v>
      </c>
      <c r="L281" s="49">
        <v>91.007000000000005</v>
      </c>
      <c r="M281" s="49">
        <v>29.611999999999998</v>
      </c>
      <c r="N281" s="49">
        <v>297.35300000000001</v>
      </c>
      <c r="O281" s="49">
        <v>842.18700000000013</v>
      </c>
      <c r="P281" s="99"/>
      <c r="Q281" s="99"/>
    </row>
    <row r="282" spans="1:19" x14ac:dyDescent="0.2">
      <c r="A282" s="153" t="s">
        <v>79</v>
      </c>
      <c r="B282" s="49">
        <v>215.28800000000001</v>
      </c>
      <c r="C282" s="49">
        <v>96.519000000000005</v>
      </c>
      <c r="D282" s="49">
        <v>63.999000000000002</v>
      </c>
      <c r="E282" s="49">
        <v>56.627000000000002</v>
      </c>
      <c r="F282" s="49">
        <v>33.774000000000001</v>
      </c>
      <c r="G282" s="49">
        <v>75.632999999999996</v>
      </c>
      <c r="H282" s="49">
        <v>15.019</v>
      </c>
      <c r="I282" s="49">
        <v>556.85900000000004</v>
      </c>
      <c r="J282" s="49">
        <v>7.423</v>
      </c>
      <c r="K282" s="49">
        <v>186.02799999999999</v>
      </c>
      <c r="L282" s="49">
        <v>99.826999999999998</v>
      </c>
      <c r="M282" s="49">
        <v>34.097999999999999</v>
      </c>
      <c r="N282" s="49">
        <v>327.37600000000003</v>
      </c>
      <c r="O282" s="49">
        <v>884.23500000000013</v>
      </c>
      <c r="P282" s="99"/>
      <c r="Q282" s="99"/>
      <c r="R282" s="99"/>
      <c r="S282" s="99"/>
    </row>
    <row r="283" spans="1:19" x14ac:dyDescent="0.2">
      <c r="A283" s="153" t="s">
        <v>89</v>
      </c>
      <c r="B283" s="49">
        <v>219.32</v>
      </c>
      <c r="C283" s="49">
        <v>95.363</v>
      </c>
      <c r="D283" s="49">
        <v>64.427999999999997</v>
      </c>
      <c r="E283" s="49">
        <v>60.555999999999997</v>
      </c>
      <c r="F283" s="49">
        <v>38.287999999999997</v>
      </c>
      <c r="G283" s="49">
        <v>76.251999999999995</v>
      </c>
      <c r="H283" s="49">
        <v>16.606999999999999</v>
      </c>
      <c r="I283" s="49">
        <v>570.81399999999996</v>
      </c>
      <c r="J283" s="49">
        <v>7.8780000000000001</v>
      </c>
      <c r="K283" s="49">
        <v>187.245</v>
      </c>
      <c r="L283" s="49">
        <v>110.19199999999999</v>
      </c>
      <c r="M283" s="49">
        <v>35.913999999999994</v>
      </c>
      <c r="N283" s="49">
        <v>341.22899999999998</v>
      </c>
      <c r="O283" s="49">
        <v>912.04299999999989</v>
      </c>
      <c r="P283" s="99"/>
      <c r="Q283" s="99"/>
      <c r="R283" s="99"/>
      <c r="S283" s="99"/>
    </row>
    <row r="284" spans="1:19" x14ac:dyDescent="0.2">
      <c r="A284" s="153" t="s">
        <v>127</v>
      </c>
      <c r="B284" s="49">
        <v>637.86300000000006</v>
      </c>
      <c r="C284" s="49">
        <v>290.67500000000001</v>
      </c>
      <c r="D284" s="49">
        <v>192.56700000000001</v>
      </c>
      <c r="E284" s="49">
        <v>174.048</v>
      </c>
      <c r="F284" s="49">
        <v>105.639</v>
      </c>
      <c r="G284" s="49">
        <v>224.81200000000001</v>
      </c>
      <c r="H284" s="49">
        <v>46.902999999999999</v>
      </c>
      <c r="I284" s="49">
        <v>1672.5070000000001</v>
      </c>
      <c r="J284" s="49">
        <v>22.652999999999999</v>
      </c>
      <c r="K284" s="49">
        <v>542.65499999999997</v>
      </c>
      <c r="L284" s="49">
        <v>301.02600000000001</v>
      </c>
      <c r="M284" s="49">
        <v>99.623999999999995</v>
      </c>
      <c r="N284" s="49">
        <v>965.95800000000008</v>
      </c>
      <c r="O284" s="49">
        <v>2638.4650000000001</v>
      </c>
      <c r="P284" s="99"/>
      <c r="Q284" s="99"/>
      <c r="R284" s="99"/>
      <c r="S284" s="99"/>
    </row>
    <row r="285" spans="1:19" x14ac:dyDescent="0.2">
      <c r="A285" s="153" t="s">
        <v>90</v>
      </c>
      <c r="B285" s="49">
        <v>208.827</v>
      </c>
      <c r="C285" s="49">
        <v>93.513999999999996</v>
      </c>
      <c r="D285" s="49">
        <v>60.610999999999997</v>
      </c>
      <c r="E285" s="49">
        <v>54.521999999999998</v>
      </c>
      <c r="F285" s="49">
        <v>34.518999999999998</v>
      </c>
      <c r="G285" s="49">
        <v>69.796999999999997</v>
      </c>
      <c r="H285" s="49">
        <v>14.962999999999999</v>
      </c>
      <c r="I285" s="49">
        <v>536.75299999999993</v>
      </c>
      <c r="J285" s="49">
        <v>6.6769999999999996</v>
      </c>
      <c r="K285" s="49">
        <v>185.85400000000001</v>
      </c>
      <c r="L285" s="49">
        <v>101.211</v>
      </c>
      <c r="M285" s="49">
        <v>33.32</v>
      </c>
      <c r="N285" s="49">
        <v>320.38499999999999</v>
      </c>
      <c r="O285" s="49">
        <v>857.13799999999992</v>
      </c>
      <c r="P285" s="99"/>
      <c r="Q285" s="99"/>
      <c r="R285" s="99"/>
      <c r="S285" s="99"/>
    </row>
    <row r="286" spans="1:19" x14ac:dyDescent="0.2">
      <c r="A286" s="153" t="s">
        <v>81</v>
      </c>
      <c r="B286" s="49">
        <v>227.149</v>
      </c>
      <c r="C286" s="49">
        <v>101.566</v>
      </c>
      <c r="D286" s="49">
        <v>69.070999999999998</v>
      </c>
      <c r="E286" s="49">
        <v>62.859000000000002</v>
      </c>
      <c r="F286" s="49">
        <v>40.209000000000003</v>
      </c>
      <c r="G286" s="49">
        <v>79.054000000000002</v>
      </c>
      <c r="H286" s="49">
        <v>16.838999999999999</v>
      </c>
      <c r="I286" s="49">
        <v>596.74700000000007</v>
      </c>
      <c r="J286" s="49">
        <v>7.4450000000000003</v>
      </c>
      <c r="K286" s="49">
        <v>196</v>
      </c>
      <c r="L286" s="49">
        <v>124.744</v>
      </c>
      <c r="M286" s="49">
        <v>46.761000000000003</v>
      </c>
      <c r="N286" s="49">
        <v>374.95</v>
      </c>
      <c r="O286" s="49">
        <v>971.69700000000012</v>
      </c>
      <c r="P286" s="99"/>
      <c r="Q286" s="99"/>
      <c r="R286" s="99"/>
      <c r="S286" s="99"/>
    </row>
    <row r="287" spans="1:19" x14ac:dyDescent="0.2">
      <c r="A287" s="153" t="s">
        <v>82</v>
      </c>
      <c r="B287" s="49">
        <v>210.01599999999999</v>
      </c>
      <c r="C287" s="49">
        <v>101.46899999999999</v>
      </c>
      <c r="D287" s="49">
        <v>63.749000000000002</v>
      </c>
      <c r="E287" s="49">
        <v>63.232999999999997</v>
      </c>
      <c r="F287" s="49">
        <v>37.950000000000003</v>
      </c>
      <c r="G287" s="49">
        <v>78.302999999999997</v>
      </c>
      <c r="H287" s="49">
        <v>19.597999999999999</v>
      </c>
      <c r="I287" s="49">
        <v>574.31799999999998</v>
      </c>
      <c r="J287" s="49">
        <v>7.7859999999999996</v>
      </c>
      <c r="K287" s="49">
        <v>179.64699999999999</v>
      </c>
      <c r="L287" s="49">
        <v>123.117</v>
      </c>
      <c r="M287" s="49">
        <v>50.829000000000001</v>
      </c>
      <c r="N287" s="49">
        <v>361.37900000000002</v>
      </c>
      <c r="O287" s="49">
        <v>935.697</v>
      </c>
      <c r="P287" s="99"/>
      <c r="Q287" s="99"/>
      <c r="R287" s="99"/>
      <c r="S287" s="99"/>
    </row>
    <row r="288" spans="1:19" x14ac:dyDescent="0.2">
      <c r="A288" s="153" t="s">
        <v>128</v>
      </c>
      <c r="B288" s="49">
        <v>645.99199999999996</v>
      </c>
      <c r="C288" s="49">
        <v>296.54899999999998</v>
      </c>
      <c r="D288" s="49">
        <v>193.43099999999998</v>
      </c>
      <c r="E288" s="49">
        <v>180.614</v>
      </c>
      <c r="F288" s="49">
        <v>112.67800000000001</v>
      </c>
      <c r="G288" s="49">
        <v>227.154</v>
      </c>
      <c r="H288" s="49">
        <v>51.4</v>
      </c>
      <c r="I288" s="49">
        <v>1707.818</v>
      </c>
      <c r="J288" s="49">
        <v>21.908000000000001</v>
      </c>
      <c r="K288" s="49">
        <v>561.50099999999998</v>
      </c>
      <c r="L288" s="49">
        <v>349.072</v>
      </c>
      <c r="M288" s="49">
        <v>130.91</v>
      </c>
      <c r="N288" s="49">
        <v>1056.7139999999999</v>
      </c>
      <c r="O288" s="49">
        <v>2764.5320000000002</v>
      </c>
      <c r="P288" s="99"/>
      <c r="Q288" s="99"/>
      <c r="R288" s="99"/>
      <c r="S288" s="99"/>
    </row>
    <row r="289" spans="1:20" x14ac:dyDescent="0.2">
      <c r="A289" s="153" t="s">
        <v>135</v>
      </c>
      <c r="B289" s="49">
        <v>225.715</v>
      </c>
      <c r="C289" s="49">
        <v>99.995999999999995</v>
      </c>
      <c r="D289" s="49">
        <v>67.941000000000003</v>
      </c>
      <c r="E289" s="49">
        <v>58.542000000000002</v>
      </c>
      <c r="F289" s="49">
        <v>35.875</v>
      </c>
      <c r="G289" s="49">
        <v>74.736999999999995</v>
      </c>
      <c r="H289" s="49">
        <v>12.499000000000001</v>
      </c>
      <c r="I289" s="49">
        <v>575.30500000000006</v>
      </c>
      <c r="J289" s="49">
        <v>7.9379999999999997</v>
      </c>
      <c r="K289" s="49">
        <v>209.31399999999999</v>
      </c>
      <c r="L289" s="49">
        <v>116.62</v>
      </c>
      <c r="M289" s="49">
        <v>39.621000000000002</v>
      </c>
      <c r="N289" s="49">
        <v>373.49299999999994</v>
      </c>
      <c r="O289" s="49">
        <v>948.798</v>
      </c>
      <c r="P289" s="99"/>
      <c r="Q289" s="99"/>
      <c r="R289" s="99"/>
      <c r="S289" s="99"/>
    </row>
    <row r="290" spans="1:20" x14ac:dyDescent="0.2">
      <c r="A290" s="153" t="s">
        <v>148</v>
      </c>
      <c r="B290" s="49">
        <v>209.01599999999999</v>
      </c>
      <c r="C290" s="49">
        <v>88.004999999999995</v>
      </c>
      <c r="D290" s="49">
        <v>65.019000000000005</v>
      </c>
      <c r="E290" s="49">
        <v>50.841999999999999</v>
      </c>
      <c r="F290" s="49">
        <v>34.423999999999999</v>
      </c>
      <c r="G290" s="49">
        <v>74.353999999999999</v>
      </c>
      <c r="H290" s="49">
        <v>16.271999999999998</v>
      </c>
      <c r="I290" s="49">
        <v>537.93200000000002</v>
      </c>
      <c r="J290" s="49">
        <v>7.556</v>
      </c>
      <c r="K290" s="49">
        <v>203.834</v>
      </c>
      <c r="L290" s="49">
        <v>128.64400000000001</v>
      </c>
      <c r="M290" s="49">
        <v>41.857999999999997</v>
      </c>
      <c r="N290" s="49">
        <v>381.892</v>
      </c>
      <c r="O290" s="49">
        <v>919.82400000000007</v>
      </c>
      <c r="P290" s="99"/>
      <c r="Q290" s="99"/>
      <c r="R290" s="99"/>
      <c r="S290" s="99"/>
    </row>
    <row r="291" spans="1:20" x14ac:dyDescent="0.2">
      <c r="A291" s="153" t="s">
        <v>87</v>
      </c>
      <c r="B291" s="49">
        <v>179.124</v>
      </c>
      <c r="C291" s="49">
        <v>80.06</v>
      </c>
      <c r="D291" s="49">
        <v>54.936999999999998</v>
      </c>
      <c r="E291" s="49">
        <v>50.792000000000002</v>
      </c>
      <c r="F291" s="49">
        <v>32.259</v>
      </c>
      <c r="G291" s="49">
        <v>67.593000000000004</v>
      </c>
      <c r="H291" s="49">
        <v>9.9540000000000006</v>
      </c>
      <c r="I291" s="49">
        <v>474.71900000000005</v>
      </c>
      <c r="J291" s="49">
        <v>6.81</v>
      </c>
      <c r="K291" s="49">
        <v>179.863</v>
      </c>
      <c r="L291" s="49">
        <v>100.08199999999999</v>
      </c>
      <c r="M291" s="49">
        <v>51.002000000000002</v>
      </c>
      <c r="N291" s="49">
        <v>337.75700000000001</v>
      </c>
      <c r="O291" s="49">
        <v>812.47600000000011</v>
      </c>
      <c r="P291" s="99"/>
      <c r="Q291" s="99"/>
      <c r="R291" s="99"/>
      <c r="S291" s="99"/>
    </row>
    <row r="292" spans="1:20" x14ac:dyDescent="0.2">
      <c r="A292" s="153" t="s">
        <v>129</v>
      </c>
      <c r="B292" s="49">
        <v>613.85500000000002</v>
      </c>
      <c r="C292" s="49">
        <v>268.06099999999998</v>
      </c>
      <c r="D292" s="49">
        <v>187.89699999999999</v>
      </c>
      <c r="E292" s="49">
        <v>160.17599999999999</v>
      </c>
      <c r="F292" s="49">
        <v>102.55800000000001</v>
      </c>
      <c r="G292" s="49">
        <v>216.68400000000003</v>
      </c>
      <c r="H292" s="49">
        <v>38.725000000000001</v>
      </c>
      <c r="I292" s="49">
        <v>1587.9560000000001</v>
      </c>
      <c r="J292" s="49">
        <v>22.303999999999998</v>
      </c>
      <c r="K292" s="49">
        <v>593.01099999999997</v>
      </c>
      <c r="L292" s="49">
        <v>345.346</v>
      </c>
      <c r="M292" s="49">
        <v>132.48099999999999</v>
      </c>
      <c r="N292" s="49">
        <v>1093.1420000000001</v>
      </c>
      <c r="O292" s="49">
        <v>2681.098</v>
      </c>
      <c r="P292" s="99"/>
      <c r="Q292" s="99"/>
      <c r="R292" s="99"/>
      <c r="S292" s="99"/>
    </row>
    <row r="293" spans="1:20" x14ac:dyDescent="0.2">
      <c r="A293" s="86"/>
      <c r="P293" s="99"/>
      <c r="Q293" s="99"/>
      <c r="R293" s="99"/>
      <c r="S293" s="99"/>
    </row>
    <row r="294" spans="1:20" x14ac:dyDescent="0.2">
      <c r="A294" s="76" t="s">
        <v>130</v>
      </c>
      <c r="P294" s="99"/>
      <c r="Q294" s="99"/>
      <c r="R294" s="99"/>
      <c r="S294" s="99"/>
    </row>
    <row r="295" spans="1:20" x14ac:dyDescent="0.2">
      <c r="A295" s="76" t="s">
        <v>74</v>
      </c>
      <c r="B295" s="49">
        <v>212.89</v>
      </c>
      <c r="C295" s="49">
        <v>95.73</v>
      </c>
      <c r="D295" s="49">
        <v>58.734999999999999</v>
      </c>
      <c r="E295" s="49">
        <v>56.109000000000002</v>
      </c>
      <c r="F295" s="49">
        <v>34.143999999999998</v>
      </c>
      <c r="G295" s="49">
        <v>73.430999999999997</v>
      </c>
      <c r="H295" s="49">
        <v>13.244</v>
      </c>
      <c r="I295" s="49">
        <v>544.28300000000002</v>
      </c>
      <c r="J295" s="49">
        <v>5.9059999999999997</v>
      </c>
      <c r="K295" s="49">
        <v>169.26300000000001</v>
      </c>
      <c r="L295" s="49">
        <v>79.924999999999997</v>
      </c>
      <c r="M295" s="49">
        <v>47.602000000000004</v>
      </c>
      <c r="N295" s="49">
        <v>302.69600000000003</v>
      </c>
      <c r="O295" s="49">
        <v>846.97900000000004</v>
      </c>
      <c r="P295" s="99"/>
      <c r="Q295" s="99"/>
      <c r="R295" s="99"/>
      <c r="S295" s="99"/>
    </row>
    <row r="296" spans="1:20" x14ac:dyDescent="0.2">
      <c r="A296" s="76" t="s">
        <v>140</v>
      </c>
      <c r="B296" s="49">
        <v>198.364</v>
      </c>
      <c r="C296" s="49">
        <v>90.370999999999995</v>
      </c>
      <c r="D296" s="49">
        <v>57.094999999999999</v>
      </c>
      <c r="E296" s="49">
        <v>54.978999999999999</v>
      </c>
      <c r="F296" s="49">
        <v>32.597999999999999</v>
      </c>
      <c r="G296" s="49">
        <v>69.936999999999998</v>
      </c>
      <c r="H296" s="49">
        <v>10.019</v>
      </c>
      <c r="I296" s="49">
        <v>513.36300000000006</v>
      </c>
      <c r="J296" s="49">
        <v>5.7770000000000001</v>
      </c>
      <c r="K296" s="49">
        <v>156.88800000000001</v>
      </c>
      <c r="L296" s="49">
        <v>77.709999999999994</v>
      </c>
      <c r="M296" s="49">
        <v>38.083999999999996</v>
      </c>
      <c r="N296" s="49">
        <v>278.459</v>
      </c>
      <c r="O296" s="49">
        <v>791.82200000000012</v>
      </c>
      <c r="P296" s="99"/>
      <c r="Q296" s="99"/>
      <c r="R296" s="99"/>
      <c r="S296" s="99"/>
    </row>
    <row r="297" spans="1:20" x14ac:dyDescent="0.2">
      <c r="A297" s="76" t="s">
        <v>76</v>
      </c>
      <c r="B297" s="49">
        <v>220.34299999999999</v>
      </c>
      <c r="C297" s="49">
        <v>97.721000000000004</v>
      </c>
      <c r="D297" s="49">
        <v>66.304000000000002</v>
      </c>
      <c r="E297" s="49">
        <v>61.279000000000003</v>
      </c>
      <c r="F297" s="49">
        <v>33.948999999999998</v>
      </c>
      <c r="G297" s="49">
        <v>88.977999999999994</v>
      </c>
      <c r="H297" s="49">
        <v>15.385999999999999</v>
      </c>
      <c r="I297" s="49">
        <v>583.95999999999992</v>
      </c>
      <c r="J297" s="49">
        <v>21.693999999999999</v>
      </c>
      <c r="K297" s="49">
        <v>179.46199999999999</v>
      </c>
      <c r="L297" s="49">
        <v>97.394999999999996</v>
      </c>
      <c r="M297" s="49">
        <v>67.373000000000005</v>
      </c>
      <c r="N297" s="49">
        <v>365.92399999999998</v>
      </c>
      <c r="O297" s="49">
        <v>949.8839999999999</v>
      </c>
      <c r="P297" s="99"/>
      <c r="Q297" s="99"/>
      <c r="R297" s="99"/>
      <c r="S297" s="99"/>
    </row>
    <row r="298" spans="1:20" x14ac:dyDescent="0.2">
      <c r="A298" s="86" t="s">
        <v>126</v>
      </c>
      <c r="B298" s="49">
        <v>631.59699999999998</v>
      </c>
      <c r="C298" s="49">
        <v>283.822</v>
      </c>
      <c r="D298" s="49">
        <v>182.13400000000001</v>
      </c>
      <c r="E298" s="49">
        <v>172.36699999999999</v>
      </c>
      <c r="F298" s="49">
        <v>100.69099999999999</v>
      </c>
      <c r="G298" s="49">
        <v>232.346</v>
      </c>
      <c r="H298" s="49">
        <v>38.649000000000001</v>
      </c>
      <c r="I298" s="49">
        <v>1641.6060000000002</v>
      </c>
      <c r="J298" s="49">
        <v>33.376999999999995</v>
      </c>
      <c r="K298" s="49">
        <v>505.613</v>
      </c>
      <c r="L298" s="49">
        <v>255.02999999999997</v>
      </c>
      <c r="M298" s="49">
        <v>153.05900000000003</v>
      </c>
      <c r="N298" s="49">
        <v>947.07899999999995</v>
      </c>
      <c r="O298" s="49">
        <v>2588.6849999999999</v>
      </c>
      <c r="P298" s="99"/>
      <c r="Q298" s="99"/>
      <c r="R298" s="99"/>
      <c r="S298" s="99"/>
    </row>
    <row r="299" spans="1:20" x14ac:dyDescent="0.2">
      <c r="A299" s="76" t="s">
        <v>78</v>
      </c>
      <c r="B299" s="49">
        <v>201.102</v>
      </c>
      <c r="C299" s="49">
        <v>91.498000000000005</v>
      </c>
      <c r="D299" s="49">
        <v>60.649000000000001</v>
      </c>
      <c r="E299" s="49">
        <v>55.363</v>
      </c>
      <c r="F299" s="49">
        <v>32.790999999999997</v>
      </c>
      <c r="G299" s="49">
        <v>85.084000000000003</v>
      </c>
      <c r="H299" s="49">
        <v>11.964</v>
      </c>
      <c r="I299" s="49">
        <v>538.45100000000014</v>
      </c>
      <c r="J299" s="49">
        <v>6.4669999999999996</v>
      </c>
      <c r="K299" s="49">
        <v>177.43799999999999</v>
      </c>
      <c r="L299" s="49">
        <v>89.742000000000004</v>
      </c>
      <c r="M299" s="49">
        <v>54.237000000000002</v>
      </c>
      <c r="N299" s="49">
        <v>327.88400000000001</v>
      </c>
      <c r="O299" s="49">
        <v>866.33500000000015</v>
      </c>
      <c r="P299" s="99"/>
      <c r="Q299" s="99"/>
      <c r="R299" s="99"/>
      <c r="S299" s="99"/>
    </row>
    <row r="300" spans="1:20" x14ac:dyDescent="0.2">
      <c r="A300" s="153" t="s">
        <v>79</v>
      </c>
      <c r="B300" s="49">
        <v>228.75899999999999</v>
      </c>
      <c r="C300" s="49">
        <v>99.100999999999999</v>
      </c>
      <c r="D300" s="49">
        <v>67.763000000000005</v>
      </c>
      <c r="E300" s="49">
        <v>62.762999999999998</v>
      </c>
      <c r="F300" s="49">
        <v>37.311</v>
      </c>
      <c r="G300" s="49">
        <v>81.046000000000006</v>
      </c>
      <c r="H300" s="49">
        <v>10.667999999999999</v>
      </c>
      <c r="I300" s="49">
        <v>587.41100000000006</v>
      </c>
      <c r="J300" s="49">
        <v>7.8079999999999998</v>
      </c>
      <c r="K300" s="49">
        <v>200.643</v>
      </c>
      <c r="L300" s="49">
        <v>103.62</v>
      </c>
      <c r="M300" s="49">
        <v>47.290000000000006</v>
      </c>
      <c r="N300" s="49">
        <v>359.36100000000005</v>
      </c>
      <c r="O300" s="49">
        <v>946.77200000000016</v>
      </c>
      <c r="P300" s="99"/>
      <c r="Q300" s="99"/>
      <c r="R300" s="99"/>
      <c r="S300" s="99"/>
    </row>
    <row r="301" spans="1:20" x14ac:dyDescent="0.2">
      <c r="A301" s="153" t="s">
        <v>89</v>
      </c>
      <c r="B301" s="49">
        <v>212.667</v>
      </c>
      <c r="C301" s="49">
        <v>95.298000000000002</v>
      </c>
      <c r="D301" s="49">
        <v>65.099000000000004</v>
      </c>
      <c r="E301" s="49">
        <v>60.271999999999998</v>
      </c>
      <c r="F301" s="49">
        <v>39.506</v>
      </c>
      <c r="G301" s="49">
        <v>74.66</v>
      </c>
      <c r="H301" s="49">
        <v>11.141999999999999</v>
      </c>
      <c r="I301" s="49">
        <v>558.64400000000001</v>
      </c>
      <c r="J301" s="49">
        <v>8.5820000000000007</v>
      </c>
      <c r="K301" s="49">
        <v>189.54499999999999</v>
      </c>
      <c r="L301" s="49">
        <v>107.468</v>
      </c>
      <c r="M301" s="49">
        <v>48.937999999999995</v>
      </c>
      <c r="N301" s="49">
        <v>354.53299999999996</v>
      </c>
      <c r="O301" s="49">
        <v>913.17699999999991</v>
      </c>
      <c r="P301" s="99"/>
      <c r="Q301" s="99"/>
      <c r="R301" s="99"/>
      <c r="S301" s="99"/>
    </row>
    <row r="302" spans="1:20" x14ac:dyDescent="0.2">
      <c r="A302" s="153" t="s">
        <v>127</v>
      </c>
      <c r="B302" s="49">
        <v>642.52800000000002</v>
      </c>
      <c r="C302" s="49">
        <v>285.89699999999999</v>
      </c>
      <c r="D302" s="49">
        <v>193.51100000000002</v>
      </c>
      <c r="E302" s="49">
        <v>178.398</v>
      </c>
      <c r="F302" s="49">
        <v>109.608</v>
      </c>
      <c r="G302" s="49">
        <v>240.79</v>
      </c>
      <c r="H302" s="49">
        <v>33.774000000000001</v>
      </c>
      <c r="I302" s="49">
        <v>1684.5060000000001</v>
      </c>
      <c r="J302" s="49">
        <v>22.856999999999999</v>
      </c>
      <c r="K302" s="49">
        <v>567.62599999999998</v>
      </c>
      <c r="L302" s="49">
        <v>300.83000000000004</v>
      </c>
      <c r="M302" s="49">
        <v>150.465</v>
      </c>
      <c r="N302" s="49">
        <v>1041.778</v>
      </c>
      <c r="O302" s="49">
        <v>2726.2840000000006</v>
      </c>
      <c r="P302" s="99"/>
      <c r="Q302" s="99"/>
      <c r="R302" s="99"/>
      <c r="S302" s="99"/>
    </row>
    <row r="303" spans="1:20" x14ac:dyDescent="0.2">
      <c r="A303" s="153" t="s">
        <v>90</v>
      </c>
      <c r="B303" s="49">
        <v>211.22499999999999</v>
      </c>
      <c r="C303" s="49">
        <v>96.367000000000004</v>
      </c>
      <c r="D303" s="49">
        <v>61.357999999999997</v>
      </c>
      <c r="E303" s="49">
        <v>59.792000000000002</v>
      </c>
      <c r="F303" s="49">
        <v>34</v>
      </c>
      <c r="G303" s="49">
        <v>70.852000000000004</v>
      </c>
      <c r="H303" s="49">
        <v>10.125</v>
      </c>
      <c r="I303" s="49">
        <v>543.71899999999994</v>
      </c>
      <c r="J303" s="49">
        <v>7.0519999999999996</v>
      </c>
      <c r="K303" s="49">
        <v>191.447</v>
      </c>
      <c r="L303" s="49">
        <v>98.332999999999998</v>
      </c>
      <c r="M303" s="49">
        <v>44.679000000000002</v>
      </c>
      <c r="N303" s="49">
        <v>341.51100000000002</v>
      </c>
      <c r="O303" s="49">
        <v>885.2299999999999</v>
      </c>
      <c r="P303" s="99"/>
      <c r="Q303" s="99"/>
      <c r="R303" s="99"/>
      <c r="S303" s="99"/>
    </row>
    <row r="304" spans="1:20" x14ac:dyDescent="0.2">
      <c r="A304" s="153" t="s">
        <v>81</v>
      </c>
      <c r="B304" s="49">
        <v>223.13499999999999</v>
      </c>
      <c r="C304" s="49">
        <v>112.291</v>
      </c>
      <c r="D304" s="49">
        <v>68.710999999999999</v>
      </c>
      <c r="E304" s="49">
        <v>64.221999999999994</v>
      </c>
      <c r="F304" s="49">
        <v>39.901000000000003</v>
      </c>
      <c r="G304" s="49">
        <v>89.186000000000007</v>
      </c>
      <c r="H304" s="49">
        <v>11.724</v>
      </c>
      <c r="I304" s="49">
        <v>609.17000000000007</v>
      </c>
      <c r="J304" s="49">
        <v>8.2370000000000001</v>
      </c>
      <c r="K304" s="49">
        <v>214.72</v>
      </c>
      <c r="L304" s="49">
        <v>120.273</v>
      </c>
      <c r="M304" s="49">
        <v>41.515000000000001</v>
      </c>
      <c r="N304" s="49">
        <v>384.745</v>
      </c>
      <c r="O304" s="49">
        <v>993.91500000000008</v>
      </c>
      <c r="P304" s="99"/>
      <c r="Q304" s="99"/>
      <c r="R304" s="99"/>
      <c r="S304" s="99"/>
      <c r="T304" s="99"/>
    </row>
    <row r="305" spans="1:20" x14ac:dyDescent="0.2">
      <c r="A305" s="153" t="s">
        <v>82</v>
      </c>
      <c r="B305" s="49">
        <v>200.24700000000001</v>
      </c>
      <c r="C305" s="49">
        <v>105.756</v>
      </c>
      <c r="D305" s="49">
        <v>62.594999999999999</v>
      </c>
      <c r="E305" s="49">
        <v>50.201000000000001</v>
      </c>
      <c r="F305" s="49">
        <v>38.122999999999998</v>
      </c>
      <c r="G305" s="49">
        <v>104.372</v>
      </c>
      <c r="H305" s="49">
        <v>10.079000000000001</v>
      </c>
      <c r="I305" s="49">
        <v>571.37300000000005</v>
      </c>
      <c r="J305" s="49">
        <v>7.6369999999999996</v>
      </c>
      <c r="K305" s="49">
        <v>181.73599999999999</v>
      </c>
      <c r="L305" s="49">
        <v>114.91500000000001</v>
      </c>
      <c r="M305" s="49">
        <v>14.859</v>
      </c>
      <c r="N305" s="49">
        <v>319.14699999999999</v>
      </c>
      <c r="O305" s="49">
        <v>890.52</v>
      </c>
      <c r="P305" s="99"/>
      <c r="Q305" s="99"/>
      <c r="R305" s="99"/>
      <c r="S305" s="99"/>
      <c r="T305" s="99"/>
    </row>
    <row r="306" spans="1:20" x14ac:dyDescent="0.2">
      <c r="A306" s="153" t="s">
        <v>128</v>
      </c>
      <c r="B306" s="49">
        <v>634.60699999999997</v>
      </c>
      <c r="C306" s="49">
        <v>314.41399999999999</v>
      </c>
      <c r="D306" s="49">
        <v>192.66399999999999</v>
      </c>
      <c r="E306" s="49">
        <v>174.215</v>
      </c>
      <c r="F306" s="49">
        <v>112.024</v>
      </c>
      <c r="G306" s="49">
        <v>264.41000000000003</v>
      </c>
      <c r="H306" s="49">
        <v>31.928000000000001</v>
      </c>
      <c r="I306" s="49">
        <v>1724.2620000000002</v>
      </c>
      <c r="J306" s="49">
        <v>22.925999999999998</v>
      </c>
      <c r="K306" s="49">
        <v>587.90300000000002</v>
      </c>
      <c r="L306" s="49">
        <v>333.52100000000002</v>
      </c>
      <c r="M306" s="49">
        <v>101.053</v>
      </c>
      <c r="N306" s="49">
        <v>1045.403</v>
      </c>
      <c r="O306" s="49">
        <v>2769.665</v>
      </c>
      <c r="P306" s="99"/>
      <c r="Q306" s="99"/>
      <c r="R306" s="99"/>
      <c r="S306" s="99"/>
      <c r="T306" s="99"/>
    </row>
    <row r="307" spans="1:20" x14ac:dyDescent="0.2">
      <c r="A307" s="153" t="s">
        <v>135</v>
      </c>
      <c r="B307" s="49">
        <v>226.238</v>
      </c>
      <c r="C307" s="49">
        <v>109.62</v>
      </c>
      <c r="D307" s="49">
        <v>67.703999999999994</v>
      </c>
      <c r="E307" s="49">
        <v>56.850999999999999</v>
      </c>
      <c r="F307" s="49">
        <v>38.33</v>
      </c>
      <c r="G307" s="49">
        <v>112.21899999999999</v>
      </c>
      <c r="H307" s="49">
        <v>10.494999999999999</v>
      </c>
      <c r="I307" s="49">
        <v>621.45699999999999</v>
      </c>
      <c r="J307" s="49">
        <v>9.3650000000000002</v>
      </c>
      <c r="K307" s="49">
        <v>197.51400000000001</v>
      </c>
      <c r="L307" s="49">
        <v>131.69900000000001</v>
      </c>
      <c r="M307" s="49">
        <v>34.926000000000002</v>
      </c>
      <c r="N307" s="49">
        <v>373.50400000000002</v>
      </c>
      <c r="O307" s="49">
        <v>994.96100000000001</v>
      </c>
      <c r="P307" s="99"/>
      <c r="Q307" s="99"/>
      <c r="R307" s="99"/>
      <c r="S307" s="99"/>
      <c r="T307" s="99"/>
    </row>
    <row r="308" spans="1:20" x14ac:dyDescent="0.2">
      <c r="A308" s="153" t="s">
        <v>148</v>
      </c>
      <c r="B308" s="49">
        <v>208.27799999999999</v>
      </c>
      <c r="C308" s="49">
        <v>97.972999999999999</v>
      </c>
      <c r="D308" s="49">
        <v>63.329000000000001</v>
      </c>
      <c r="E308" s="49">
        <v>49.802</v>
      </c>
      <c r="F308" s="49">
        <v>31.538</v>
      </c>
      <c r="G308" s="49">
        <v>107.913</v>
      </c>
      <c r="H308" s="49">
        <v>12.134</v>
      </c>
      <c r="I308" s="49">
        <v>570.96699999999998</v>
      </c>
      <c r="J308" s="49">
        <v>8.5790000000000006</v>
      </c>
      <c r="K308" s="49">
        <v>180.87200000000001</v>
      </c>
      <c r="L308" s="49">
        <v>129.59200000000001</v>
      </c>
      <c r="M308" s="49">
        <v>30.721999999999998</v>
      </c>
      <c r="N308" s="49">
        <v>349.76499999999999</v>
      </c>
      <c r="O308" s="49">
        <v>920.73199999999997</v>
      </c>
      <c r="P308" s="99"/>
      <c r="Q308" s="99"/>
      <c r="R308" s="99"/>
      <c r="S308" s="99"/>
      <c r="T308" s="99"/>
    </row>
    <row r="309" spans="1:20" x14ac:dyDescent="0.2">
      <c r="A309" s="153" t="s">
        <v>87</v>
      </c>
      <c r="B309" s="49">
        <v>175.68299999999999</v>
      </c>
      <c r="C309" s="49">
        <v>79.741</v>
      </c>
      <c r="D309" s="49">
        <v>53.929000000000002</v>
      </c>
      <c r="E309" s="49">
        <v>48.488</v>
      </c>
      <c r="F309" s="49">
        <v>28.113</v>
      </c>
      <c r="G309" s="49">
        <v>90.56</v>
      </c>
      <c r="H309" s="49">
        <v>9.7840000000000007</v>
      </c>
      <c r="I309" s="49">
        <v>486.29799999999994</v>
      </c>
      <c r="J309" s="49">
        <v>7.6070000000000002</v>
      </c>
      <c r="K309" s="49">
        <v>166.761</v>
      </c>
      <c r="L309" s="49">
        <v>99.376999999999995</v>
      </c>
      <c r="M309" s="49">
        <v>23.695</v>
      </c>
      <c r="N309" s="49">
        <v>297.44</v>
      </c>
      <c r="O309" s="49">
        <v>783.73799999999994</v>
      </c>
      <c r="P309" s="99"/>
      <c r="Q309" s="99"/>
      <c r="R309" s="99"/>
      <c r="S309" s="99"/>
      <c r="T309" s="99"/>
    </row>
    <row r="310" spans="1:20" x14ac:dyDescent="0.2">
      <c r="A310" s="153" t="s">
        <v>129</v>
      </c>
      <c r="B310" s="49">
        <v>610.19899999999996</v>
      </c>
      <c r="C310" s="49">
        <v>287.334</v>
      </c>
      <c r="D310" s="49">
        <v>184.96199999999999</v>
      </c>
      <c r="E310" s="49">
        <v>155.14099999999999</v>
      </c>
      <c r="F310" s="49">
        <v>97.980999999999995</v>
      </c>
      <c r="G310" s="49">
        <v>310.69200000000001</v>
      </c>
      <c r="H310" s="49">
        <v>32.412999999999997</v>
      </c>
      <c r="I310" s="49">
        <v>1678.722</v>
      </c>
      <c r="J310" s="49">
        <v>25.551000000000002</v>
      </c>
      <c r="K310" s="49">
        <v>545.14700000000005</v>
      </c>
      <c r="L310" s="49">
        <v>360.66800000000006</v>
      </c>
      <c r="M310" s="49">
        <v>89.342999999999989</v>
      </c>
      <c r="N310" s="49">
        <v>1020.7090000000001</v>
      </c>
      <c r="O310" s="49">
        <v>2699.431</v>
      </c>
      <c r="P310" s="99"/>
      <c r="Q310" s="99"/>
      <c r="R310" s="99"/>
      <c r="S310" s="99"/>
      <c r="T310" s="99"/>
    </row>
    <row r="311" spans="1:20" x14ac:dyDescent="0.2">
      <c r="A311" s="86"/>
      <c r="P311" s="99"/>
      <c r="Q311" s="99"/>
      <c r="R311" s="99"/>
      <c r="S311" s="99"/>
      <c r="T311" s="99"/>
    </row>
    <row r="312" spans="1:20" x14ac:dyDescent="0.2">
      <c r="A312" s="76" t="s">
        <v>131</v>
      </c>
      <c r="P312" s="99"/>
      <c r="Q312" s="99"/>
      <c r="R312" s="99"/>
      <c r="S312" s="99"/>
      <c r="T312" s="99"/>
    </row>
    <row r="313" spans="1:20" x14ac:dyDescent="0.2">
      <c r="A313" s="76" t="s">
        <v>74</v>
      </c>
      <c r="B313" s="49">
        <v>199.28</v>
      </c>
      <c r="C313" s="49">
        <v>103.872</v>
      </c>
      <c r="D313" s="49">
        <v>66.721000000000004</v>
      </c>
      <c r="E313" s="49">
        <v>56.118000000000002</v>
      </c>
      <c r="F313" s="49">
        <v>31.04</v>
      </c>
      <c r="G313" s="49">
        <v>100.197</v>
      </c>
      <c r="H313" s="49">
        <v>10.34</v>
      </c>
      <c r="I313" s="49">
        <v>567.5680000000001</v>
      </c>
      <c r="J313" s="49">
        <v>7.5510000000000002</v>
      </c>
      <c r="K313" s="49">
        <v>149.488</v>
      </c>
      <c r="L313" s="49">
        <v>88.504000000000005</v>
      </c>
      <c r="M313" s="49">
        <v>25.986000000000001</v>
      </c>
      <c r="N313" s="49">
        <v>271.529</v>
      </c>
      <c r="O313" s="49">
        <v>839.09700000000009</v>
      </c>
      <c r="P313" s="99"/>
      <c r="Q313" s="99"/>
      <c r="R313" s="99"/>
      <c r="S313" s="99"/>
      <c r="T313" s="99"/>
    </row>
    <row r="314" spans="1:20" x14ac:dyDescent="0.2">
      <c r="A314" s="76" t="s">
        <v>140</v>
      </c>
      <c r="B314" s="49">
        <v>193.84800000000001</v>
      </c>
      <c r="C314" s="49">
        <v>91.287999999999997</v>
      </c>
      <c r="D314" s="49">
        <v>65.028999999999996</v>
      </c>
      <c r="E314" s="49">
        <v>57.493000000000002</v>
      </c>
      <c r="F314" s="49">
        <v>27.251000000000001</v>
      </c>
      <c r="G314" s="49">
        <v>92.370999999999995</v>
      </c>
      <c r="H314" s="49">
        <v>9.9860000000000007</v>
      </c>
      <c r="I314" s="49">
        <v>537.26599999999996</v>
      </c>
      <c r="J314" s="49">
        <v>6.726</v>
      </c>
      <c r="K314" s="49">
        <v>163.57900000000001</v>
      </c>
      <c r="L314" s="49">
        <v>84.747</v>
      </c>
      <c r="M314" s="49">
        <v>26.588999999999999</v>
      </c>
      <c r="N314" s="49">
        <v>282.52</v>
      </c>
      <c r="O314" s="49">
        <v>819.78599999999994</v>
      </c>
      <c r="P314" s="99"/>
      <c r="Q314" s="99"/>
      <c r="R314" s="99"/>
      <c r="S314" s="99"/>
      <c r="T314" s="99"/>
    </row>
    <row r="315" spans="1:20" x14ac:dyDescent="0.2">
      <c r="A315" s="76" t="s">
        <v>76</v>
      </c>
      <c r="B315" s="49">
        <v>208.92599999999999</v>
      </c>
      <c r="C315" s="49">
        <v>103.756</v>
      </c>
      <c r="D315" s="49">
        <v>70.596999999999994</v>
      </c>
      <c r="E315" s="49">
        <v>62.063000000000002</v>
      </c>
      <c r="F315" s="49">
        <v>28.791</v>
      </c>
      <c r="G315" s="49">
        <v>99.712000000000003</v>
      </c>
      <c r="H315" s="49">
        <v>10.048999999999999</v>
      </c>
      <c r="I315" s="49">
        <v>583.89400000000001</v>
      </c>
      <c r="J315" s="49">
        <v>8.0180000000000007</v>
      </c>
      <c r="K315" s="49">
        <v>196.608</v>
      </c>
      <c r="L315" s="49">
        <v>100.587</v>
      </c>
      <c r="M315" s="49">
        <v>29.907999999999998</v>
      </c>
      <c r="N315" s="49">
        <v>335.12100000000004</v>
      </c>
      <c r="O315" s="49">
        <v>919.0150000000001</v>
      </c>
      <c r="P315" s="99"/>
      <c r="Q315" s="99"/>
      <c r="R315" s="99"/>
      <c r="S315" s="99"/>
      <c r="T315" s="99"/>
    </row>
    <row r="316" spans="1:20" x14ac:dyDescent="0.2">
      <c r="A316" s="86" t="s">
        <v>126</v>
      </c>
      <c r="B316" s="49">
        <v>602.05400000000009</v>
      </c>
      <c r="C316" s="49">
        <v>298.916</v>
      </c>
      <c r="D316" s="49">
        <v>202.34699999999998</v>
      </c>
      <c r="E316" s="49">
        <v>175.67400000000001</v>
      </c>
      <c r="F316" s="49">
        <v>87.081999999999994</v>
      </c>
      <c r="G316" s="49">
        <v>292.27999999999997</v>
      </c>
      <c r="H316" s="49">
        <v>30.375</v>
      </c>
      <c r="I316" s="49">
        <v>1688.7280000000001</v>
      </c>
      <c r="J316" s="49">
        <v>22.295000000000002</v>
      </c>
      <c r="K316" s="49">
        <v>509.67500000000001</v>
      </c>
      <c r="L316" s="49">
        <v>273.83800000000002</v>
      </c>
      <c r="M316" s="49">
        <v>82.483000000000004</v>
      </c>
      <c r="N316" s="49">
        <v>889.17000000000007</v>
      </c>
      <c r="O316" s="49">
        <v>2577.8980000000001</v>
      </c>
      <c r="P316" s="99"/>
      <c r="Q316" s="99"/>
      <c r="R316" s="99"/>
      <c r="S316" s="99"/>
      <c r="T316" s="99"/>
    </row>
    <row r="317" spans="1:20" x14ac:dyDescent="0.2">
      <c r="A317" s="76" t="s">
        <v>78</v>
      </c>
      <c r="B317" s="49">
        <v>205.18</v>
      </c>
      <c r="C317" s="49">
        <v>98.866</v>
      </c>
      <c r="D317" s="49">
        <v>65.754999999999995</v>
      </c>
      <c r="E317" s="49">
        <v>59.661999999999999</v>
      </c>
      <c r="F317" s="49">
        <v>27.221</v>
      </c>
      <c r="G317" s="49">
        <v>95.433000000000007</v>
      </c>
      <c r="H317" s="49">
        <v>9.0280000000000005</v>
      </c>
      <c r="I317" s="49">
        <v>561.14499999999998</v>
      </c>
      <c r="J317" s="49">
        <v>7.2290000000000001</v>
      </c>
      <c r="K317" s="49">
        <v>176.875</v>
      </c>
      <c r="L317" s="49">
        <v>78.850999999999999</v>
      </c>
      <c r="M317" s="49">
        <v>28.579000000000001</v>
      </c>
      <c r="N317" s="49">
        <v>291.53399999999999</v>
      </c>
      <c r="O317" s="49">
        <v>852.67899999999997</v>
      </c>
      <c r="P317" s="99"/>
      <c r="Q317" s="99"/>
      <c r="R317" s="99"/>
      <c r="S317" s="99"/>
      <c r="T317" s="99"/>
    </row>
    <row r="318" spans="1:20" x14ac:dyDescent="0.2">
      <c r="A318" s="153" t="s">
        <v>79</v>
      </c>
      <c r="B318" s="49">
        <v>207.5</v>
      </c>
      <c r="C318" s="49">
        <v>107.10899999999999</v>
      </c>
      <c r="D318" s="49">
        <v>74.066000000000003</v>
      </c>
      <c r="E318" s="49">
        <v>61.859000000000002</v>
      </c>
      <c r="F318" s="49">
        <v>30.943999999999999</v>
      </c>
      <c r="G318" s="49">
        <v>99.757999999999996</v>
      </c>
      <c r="H318" s="49">
        <v>9.9879999999999995</v>
      </c>
      <c r="I318" s="49">
        <v>591.22399999999993</v>
      </c>
      <c r="J318" s="49">
        <v>8.1059999999999999</v>
      </c>
      <c r="K318" s="49">
        <v>182.02099999999999</v>
      </c>
      <c r="L318" s="49">
        <v>102.541</v>
      </c>
      <c r="M318" s="49">
        <v>25.847999999999999</v>
      </c>
      <c r="N318" s="49">
        <v>318.51600000000002</v>
      </c>
      <c r="O318" s="49">
        <v>909.74</v>
      </c>
      <c r="P318" s="99"/>
      <c r="Q318" s="99"/>
      <c r="R318" s="99"/>
      <c r="S318" s="99"/>
      <c r="T318" s="99"/>
    </row>
    <row r="319" spans="1:20" x14ac:dyDescent="0.2">
      <c r="A319" s="153" t="s">
        <v>89</v>
      </c>
      <c r="B319" s="49">
        <v>208.542</v>
      </c>
      <c r="C319" s="49">
        <v>104.57299999999999</v>
      </c>
      <c r="D319" s="49">
        <v>71.956000000000003</v>
      </c>
      <c r="E319" s="49">
        <v>64.72</v>
      </c>
      <c r="F319" s="49">
        <v>30.213999999999999</v>
      </c>
      <c r="G319" s="49">
        <v>97.703000000000003</v>
      </c>
      <c r="H319" s="49">
        <v>9.5429999999999993</v>
      </c>
      <c r="I319" s="49">
        <v>587.25100000000009</v>
      </c>
      <c r="J319" s="49">
        <v>7.8360000000000003</v>
      </c>
      <c r="K319" s="49">
        <v>178.80099999999999</v>
      </c>
      <c r="L319" s="49">
        <v>103.392</v>
      </c>
      <c r="M319" s="49">
        <v>21.902000000000001</v>
      </c>
      <c r="N319" s="49">
        <v>311.93100000000004</v>
      </c>
      <c r="O319" s="49">
        <v>899.18200000000013</v>
      </c>
      <c r="P319" s="99"/>
      <c r="Q319" s="99"/>
      <c r="R319" s="99"/>
      <c r="S319" s="99"/>
      <c r="T319" s="99"/>
    </row>
    <row r="320" spans="1:20" x14ac:dyDescent="0.2">
      <c r="A320" s="153" t="s">
        <v>127</v>
      </c>
      <c r="B320" s="49">
        <v>621.22199999999998</v>
      </c>
      <c r="C320" s="49">
        <v>310.548</v>
      </c>
      <c r="D320" s="49">
        <v>211.77699999999999</v>
      </c>
      <c r="E320" s="49">
        <v>186.24099999999999</v>
      </c>
      <c r="F320" s="49">
        <v>88.378999999999991</v>
      </c>
      <c r="G320" s="49">
        <v>292.89400000000001</v>
      </c>
      <c r="H320" s="49">
        <v>28.558999999999997</v>
      </c>
      <c r="I320" s="49">
        <v>1739.62</v>
      </c>
      <c r="J320" s="49">
        <v>23.170999999999999</v>
      </c>
      <c r="K320" s="49">
        <v>537.69699999999989</v>
      </c>
      <c r="L320" s="49">
        <v>284.78399999999999</v>
      </c>
      <c r="M320" s="49">
        <v>76.329000000000008</v>
      </c>
      <c r="N320" s="49">
        <v>921.98099999999999</v>
      </c>
      <c r="O320" s="49">
        <v>2661.6010000000001</v>
      </c>
      <c r="P320" s="99"/>
      <c r="Q320" s="99"/>
      <c r="R320" s="99"/>
      <c r="S320" s="99"/>
      <c r="T320" s="99"/>
    </row>
    <row r="321" spans="1:20" x14ac:dyDescent="0.2">
      <c r="A321" s="153" t="s">
        <v>90</v>
      </c>
      <c r="B321" s="49">
        <v>216.26499999999999</v>
      </c>
      <c r="C321" s="49">
        <v>103.717</v>
      </c>
      <c r="D321" s="49">
        <v>70.066999999999993</v>
      </c>
      <c r="E321" s="49">
        <v>70.197000000000003</v>
      </c>
      <c r="F321" s="49">
        <v>30.114000000000001</v>
      </c>
      <c r="G321" s="49">
        <v>95.097999999999999</v>
      </c>
      <c r="H321" s="49">
        <v>8.6470000000000002</v>
      </c>
      <c r="I321" s="49">
        <v>594.10500000000002</v>
      </c>
      <c r="J321" s="49">
        <v>7.95</v>
      </c>
      <c r="K321" s="49">
        <v>197.64099999999999</v>
      </c>
      <c r="L321" s="49">
        <v>107.842</v>
      </c>
      <c r="M321" s="49">
        <v>24.878999999999998</v>
      </c>
      <c r="N321" s="49">
        <v>338.31199999999995</v>
      </c>
      <c r="O321" s="49">
        <v>932.41699999999992</v>
      </c>
      <c r="P321" s="99"/>
      <c r="Q321" s="99"/>
      <c r="R321" s="99"/>
      <c r="S321" s="99"/>
      <c r="T321" s="99"/>
    </row>
    <row r="322" spans="1:20" x14ac:dyDescent="0.2">
      <c r="A322" s="153" t="s">
        <v>81</v>
      </c>
      <c r="B322" s="49">
        <v>231.672</v>
      </c>
      <c r="C322" s="49">
        <v>116.93600000000001</v>
      </c>
      <c r="D322" s="49">
        <v>75.775000000000006</v>
      </c>
      <c r="E322" s="49">
        <v>69.989000000000004</v>
      </c>
      <c r="F322" s="49">
        <v>35.826999999999998</v>
      </c>
      <c r="G322" s="49">
        <v>98.58</v>
      </c>
      <c r="H322" s="49">
        <v>11.186</v>
      </c>
      <c r="I322" s="49">
        <v>639.96500000000003</v>
      </c>
      <c r="J322" s="49">
        <v>8.1969999999999992</v>
      </c>
      <c r="K322" s="49">
        <v>202.43899999999999</v>
      </c>
      <c r="L322" s="49">
        <v>115.965</v>
      </c>
      <c r="M322" s="49">
        <v>34.873999999999995</v>
      </c>
      <c r="N322" s="49">
        <v>361.47500000000002</v>
      </c>
      <c r="O322" s="49">
        <v>1001.44</v>
      </c>
      <c r="P322" s="99"/>
      <c r="Q322" s="99"/>
      <c r="R322" s="99"/>
      <c r="S322" s="99"/>
      <c r="T322" s="99"/>
    </row>
    <row r="323" spans="1:20" x14ac:dyDescent="0.2">
      <c r="A323" s="153" t="s">
        <v>82</v>
      </c>
      <c r="B323" s="49">
        <v>212.667</v>
      </c>
      <c r="C323" s="49">
        <v>95.152000000000001</v>
      </c>
      <c r="D323" s="49">
        <v>62.997</v>
      </c>
      <c r="E323" s="49">
        <v>54.167999999999999</v>
      </c>
      <c r="F323" s="49">
        <v>30.306999999999999</v>
      </c>
      <c r="G323" s="49">
        <v>91.186999999999998</v>
      </c>
      <c r="H323" s="49">
        <v>10.114000000000001</v>
      </c>
      <c r="I323" s="49">
        <v>546.47800000000007</v>
      </c>
      <c r="J323" s="49">
        <v>7.3620000000000001</v>
      </c>
      <c r="K323" s="49">
        <v>175.52600000000001</v>
      </c>
      <c r="L323" s="49">
        <v>97.872</v>
      </c>
      <c r="M323" s="49">
        <v>26.9</v>
      </c>
      <c r="N323" s="49">
        <v>317.774</v>
      </c>
      <c r="O323" s="49">
        <v>864.25200000000007</v>
      </c>
      <c r="P323" s="99"/>
      <c r="Q323" s="99"/>
      <c r="R323" s="99"/>
      <c r="S323" s="99"/>
      <c r="T323" s="99"/>
    </row>
    <row r="324" spans="1:20" x14ac:dyDescent="0.2">
      <c r="A324" s="153" t="s">
        <v>128</v>
      </c>
      <c r="B324" s="49">
        <v>660.60400000000004</v>
      </c>
      <c r="C324" s="49">
        <v>315.80500000000001</v>
      </c>
      <c r="D324" s="49">
        <v>208.839</v>
      </c>
      <c r="E324" s="49">
        <v>194.35400000000001</v>
      </c>
      <c r="F324" s="49">
        <v>96.248000000000005</v>
      </c>
      <c r="G324" s="49">
        <v>284.86500000000001</v>
      </c>
      <c r="H324" s="49">
        <v>29.946999999999999</v>
      </c>
      <c r="I324" s="49">
        <v>1780.5480000000002</v>
      </c>
      <c r="J324" s="49">
        <v>23.509</v>
      </c>
      <c r="K324" s="49">
        <v>575.60599999999999</v>
      </c>
      <c r="L324" s="49">
        <v>321.67900000000003</v>
      </c>
      <c r="M324" s="49">
        <v>86.652999999999992</v>
      </c>
      <c r="N324" s="49">
        <v>1017.561</v>
      </c>
      <c r="O324" s="49">
        <v>2798.1089999999999</v>
      </c>
      <c r="P324" s="99"/>
      <c r="Q324" s="99"/>
      <c r="R324" s="99"/>
      <c r="S324" s="99"/>
      <c r="T324" s="99"/>
    </row>
    <row r="325" spans="1:20" x14ac:dyDescent="0.2">
      <c r="A325" s="153" t="s">
        <v>135</v>
      </c>
      <c r="B325" s="49">
        <v>234.92599999999999</v>
      </c>
      <c r="C325" s="49">
        <v>114.5</v>
      </c>
      <c r="D325" s="49">
        <v>74.817999999999998</v>
      </c>
      <c r="E325" s="49">
        <v>62.972999999999999</v>
      </c>
      <c r="F325" s="49">
        <v>39.292999999999999</v>
      </c>
      <c r="G325" s="49">
        <v>81.662999999999997</v>
      </c>
      <c r="H325" s="49">
        <v>32.47</v>
      </c>
      <c r="I325" s="49">
        <v>640.64300000000003</v>
      </c>
      <c r="J325" s="49">
        <v>8.7279999999999998</v>
      </c>
      <c r="K325" s="49">
        <v>201.03100000000001</v>
      </c>
      <c r="L325" s="49">
        <v>130.75899999999999</v>
      </c>
      <c r="M325" s="49">
        <v>28.740000000000002</v>
      </c>
      <c r="N325" s="49">
        <v>369.25800000000004</v>
      </c>
      <c r="O325" s="49">
        <v>1009.9010000000001</v>
      </c>
      <c r="P325" s="99"/>
      <c r="Q325" s="99"/>
      <c r="R325" s="99"/>
      <c r="S325" s="99"/>
      <c r="T325" s="99"/>
    </row>
    <row r="326" spans="1:20" x14ac:dyDescent="0.2">
      <c r="A326" s="153" t="s">
        <v>148</v>
      </c>
      <c r="B326" s="49">
        <v>184.51300000000001</v>
      </c>
      <c r="C326" s="49">
        <v>99.963999999999999</v>
      </c>
      <c r="D326" s="49">
        <v>62.722999999999999</v>
      </c>
      <c r="E326" s="49">
        <v>55.115000000000002</v>
      </c>
      <c r="F326" s="49">
        <v>35.542000000000002</v>
      </c>
      <c r="G326" s="49">
        <v>101.976</v>
      </c>
      <c r="H326" s="49">
        <v>8.8130000000000006</v>
      </c>
      <c r="I326" s="49">
        <v>548.64599999999996</v>
      </c>
      <c r="J326" s="49">
        <v>7.4119999999999999</v>
      </c>
      <c r="K326" s="49">
        <v>173.47499999999999</v>
      </c>
      <c r="L326" s="49">
        <v>122.354</v>
      </c>
      <c r="M326" s="49">
        <v>35.100999999999999</v>
      </c>
      <c r="N326" s="49">
        <v>338.34199999999998</v>
      </c>
      <c r="O326" s="49">
        <v>886.98799999999994</v>
      </c>
      <c r="P326" s="99"/>
      <c r="Q326" s="99"/>
      <c r="R326" s="99"/>
      <c r="S326" s="99"/>
      <c r="T326" s="99"/>
    </row>
    <row r="327" spans="1:20" x14ac:dyDescent="0.2">
      <c r="A327" s="153" t="s">
        <v>87</v>
      </c>
      <c r="B327" s="49">
        <v>165.07</v>
      </c>
      <c r="C327" s="49">
        <v>82.281000000000006</v>
      </c>
      <c r="D327" s="49">
        <v>51.363999999999997</v>
      </c>
      <c r="E327" s="49">
        <v>50.28</v>
      </c>
      <c r="F327" s="49">
        <v>28.562000000000001</v>
      </c>
      <c r="G327" s="49">
        <v>93.650999999999996</v>
      </c>
      <c r="H327" s="49">
        <v>7.7569999999999997</v>
      </c>
      <c r="I327" s="49">
        <v>478.96500000000003</v>
      </c>
      <c r="J327" s="49">
        <v>6.0279999999999996</v>
      </c>
      <c r="K327" s="49">
        <v>177.749</v>
      </c>
      <c r="L327" s="49">
        <v>90.421999999999997</v>
      </c>
      <c r="M327" s="49">
        <v>25.785</v>
      </c>
      <c r="N327" s="49">
        <v>299.98399999999998</v>
      </c>
      <c r="O327" s="49">
        <v>778.94900000000007</v>
      </c>
      <c r="P327" s="99"/>
      <c r="Q327" s="99"/>
      <c r="R327" s="99"/>
      <c r="S327" s="99"/>
      <c r="T327" s="99"/>
    </row>
    <row r="328" spans="1:20" x14ac:dyDescent="0.2">
      <c r="A328" s="153" t="s">
        <v>129</v>
      </c>
      <c r="B328" s="49">
        <v>584.50900000000001</v>
      </c>
      <c r="C328" s="49">
        <v>296.745</v>
      </c>
      <c r="D328" s="49">
        <v>188.905</v>
      </c>
      <c r="E328" s="49">
        <v>168.36799999999999</v>
      </c>
      <c r="F328" s="49">
        <v>103.39700000000001</v>
      </c>
      <c r="G328" s="49">
        <v>277.29000000000002</v>
      </c>
      <c r="H328" s="49">
        <v>49.04</v>
      </c>
      <c r="I328" s="49">
        <v>1668.2539999999999</v>
      </c>
      <c r="J328" s="49">
        <v>22.167999999999999</v>
      </c>
      <c r="K328" s="49">
        <v>552.255</v>
      </c>
      <c r="L328" s="49">
        <v>343.53499999999997</v>
      </c>
      <c r="M328" s="49">
        <v>89.626000000000005</v>
      </c>
      <c r="N328" s="49">
        <v>1007.5840000000001</v>
      </c>
      <c r="O328" s="49">
        <v>2675.8380000000002</v>
      </c>
      <c r="P328" s="99"/>
      <c r="Q328" s="99"/>
      <c r="R328" s="99"/>
      <c r="S328" s="99"/>
      <c r="T328" s="99"/>
    </row>
    <row r="329" spans="1:20" x14ac:dyDescent="0.2">
      <c r="A329" s="86"/>
      <c r="P329" s="99"/>
      <c r="Q329" s="99"/>
      <c r="R329" s="99"/>
      <c r="S329" s="99"/>
      <c r="T329" s="99"/>
    </row>
    <row r="330" spans="1:20" x14ac:dyDescent="0.2">
      <c r="A330" s="76" t="s">
        <v>132</v>
      </c>
      <c r="P330" s="99"/>
      <c r="Q330" s="99"/>
      <c r="R330" s="99"/>
      <c r="S330" s="99"/>
      <c r="T330" s="99"/>
    </row>
    <row r="331" spans="1:20" x14ac:dyDescent="0.2">
      <c r="A331" s="76" t="s">
        <v>74</v>
      </c>
      <c r="B331" s="49">
        <v>215.625</v>
      </c>
      <c r="C331" s="49">
        <v>99.43</v>
      </c>
      <c r="D331" s="49">
        <v>61.567</v>
      </c>
      <c r="E331" s="49">
        <v>64.432000000000002</v>
      </c>
      <c r="F331" s="49">
        <v>34.244</v>
      </c>
      <c r="G331" s="49">
        <v>95.495000000000005</v>
      </c>
      <c r="H331" s="49">
        <v>10.481</v>
      </c>
      <c r="I331" s="49">
        <v>581.274</v>
      </c>
      <c r="J331" s="49">
        <v>6.8479999999999999</v>
      </c>
      <c r="K331" s="49">
        <v>175.19</v>
      </c>
      <c r="L331" s="49">
        <v>87.441999999999993</v>
      </c>
      <c r="M331" s="49">
        <v>17.03</v>
      </c>
      <c r="N331" s="49">
        <v>286.51000000000005</v>
      </c>
      <c r="O331" s="49">
        <v>867.78400000000011</v>
      </c>
      <c r="P331" s="99"/>
      <c r="Q331" s="99"/>
      <c r="R331" s="99"/>
      <c r="S331" s="99"/>
      <c r="T331" s="99"/>
    </row>
    <row r="332" spans="1:20" x14ac:dyDescent="0.2">
      <c r="A332" s="76" t="s">
        <v>140</v>
      </c>
      <c r="B332" s="49">
        <v>194.00200000000001</v>
      </c>
      <c r="C332" s="49">
        <v>91.89</v>
      </c>
      <c r="D332" s="49">
        <v>58.076000000000001</v>
      </c>
      <c r="E332" s="49">
        <v>56.889000000000003</v>
      </c>
      <c r="F332" s="49">
        <v>31.344000000000001</v>
      </c>
      <c r="G332" s="49">
        <v>84.558999999999997</v>
      </c>
      <c r="H332" s="49">
        <v>9.0289999999999999</v>
      </c>
      <c r="I332" s="49">
        <v>525.78899999999999</v>
      </c>
      <c r="J332" s="49">
        <v>6.024</v>
      </c>
      <c r="K332" s="49">
        <v>173.958</v>
      </c>
      <c r="L332" s="49">
        <v>78.08</v>
      </c>
      <c r="M332" s="49">
        <v>19.081999999999997</v>
      </c>
      <c r="N332" s="49">
        <v>277.14400000000001</v>
      </c>
      <c r="O332" s="49">
        <v>802.93299999999999</v>
      </c>
      <c r="P332" s="99"/>
      <c r="Q332" s="99"/>
      <c r="R332" s="99"/>
      <c r="S332" s="99"/>
      <c r="T332" s="99"/>
    </row>
    <row r="333" spans="1:20" x14ac:dyDescent="0.2">
      <c r="A333" s="76" t="s">
        <v>76</v>
      </c>
      <c r="B333" s="49">
        <v>216.34899999999999</v>
      </c>
      <c r="C333" s="49">
        <v>107.48099999999999</v>
      </c>
      <c r="D333" s="49">
        <v>58.151000000000003</v>
      </c>
      <c r="E333" s="49">
        <v>57.576000000000001</v>
      </c>
      <c r="F333" s="49">
        <v>35.581000000000003</v>
      </c>
      <c r="G333" s="49">
        <v>98.742000000000004</v>
      </c>
      <c r="H333" s="49">
        <v>9.8620000000000001</v>
      </c>
      <c r="I333" s="49">
        <v>583.74199999999996</v>
      </c>
      <c r="J333" s="49">
        <v>7.0609999999999999</v>
      </c>
      <c r="K333" s="49">
        <v>207.559</v>
      </c>
      <c r="L333" s="49">
        <v>93.085999999999999</v>
      </c>
      <c r="M333" s="49">
        <v>25.247</v>
      </c>
      <c r="N333" s="49">
        <v>332.95300000000003</v>
      </c>
      <c r="O333" s="49">
        <v>916.69499999999994</v>
      </c>
      <c r="P333" s="99"/>
      <c r="Q333" s="99"/>
      <c r="R333" s="99"/>
      <c r="S333" s="99"/>
      <c r="T333" s="99"/>
    </row>
    <row r="334" spans="1:20" x14ac:dyDescent="0.2">
      <c r="A334" s="86" t="s">
        <v>126</v>
      </c>
      <c r="B334" s="49">
        <v>625.976</v>
      </c>
      <c r="C334" s="49">
        <v>298.80099999999999</v>
      </c>
      <c r="D334" s="49">
        <v>177.79400000000001</v>
      </c>
      <c r="E334" s="49">
        <v>178.89699999999999</v>
      </c>
      <c r="F334" s="49">
        <v>101.169</v>
      </c>
      <c r="G334" s="49">
        <v>278.79599999999999</v>
      </c>
      <c r="H334" s="49">
        <v>29.372</v>
      </c>
      <c r="I334" s="49">
        <v>1690.8050000000001</v>
      </c>
      <c r="J334" s="49">
        <v>19.933</v>
      </c>
      <c r="K334" s="49">
        <v>556.70699999999999</v>
      </c>
      <c r="L334" s="49">
        <v>258.608</v>
      </c>
      <c r="M334" s="49">
        <v>61.358999999999995</v>
      </c>
      <c r="N334" s="49">
        <v>896.60699999999997</v>
      </c>
      <c r="O334" s="49">
        <v>2587.4120000000003</v>
      </c>
      <c r="P334" s="99"/>
      <c r="Q334" s="99"/>
      <c r="R334" s="99"/>
      <c r="S334" s="99"/>
      <c r="T334" s="99"/>
    </row>
    <row r="335" spans="1:20" x14ac:dyDescent="0.2">
      <c r="A335" s="76" t="s">
        <v>78</v>
      </c>
      <c r="B335" s="49">
        <v>209.58099999999999</v>
      </c>
      <c r="C335" s="49">
        <v>101.294</v>
      </c>
      <c r="D335" s="49">
        <v>61.451000000000001</v>
      </c>
      <c r="E335" s="49">
        <v>58.582999999999998</v>
      </c>
      <c r="F335" s="49">
        <v>32.509</v>
      </c>
      <c r="G335" s="49">
        <v>92.947000000000003</v>
      </c>
      <c r="H335" s="49">
        <v>11.741</v>
      </c>
      <c r="I335" s="49">
        <v>568.10599999999999</v>
      </c>
      <c r="J335" s="49">
        <v>6.8639999999999999</v>
      </c>
      <c r="K335" s="49">
        <v>192.70500000000001</v>
      </c>
      <c r="L335" s="49">
        <v>92.817999999999998</v>
      </c>
      <c r="M335" s="49">
        <v>24.556999999999999</v>
      </c>
      <c r="N335" s="49">
        <v>316.94399999999996</v>
      </c>
      <c r="O335" s="49">
        <v>885.05000000000007</v>
      </c>
      <c r="P335" s="99"/>
      <c r="Q335" s="99"/>
      <c r="R335" s="99"/>
      <c r="S335" s="99"/>
      <c r="T335" s="99"/>
    </row>
    <row r="336" spans="1:20" x14ac:dyDescent="0.2">
      <c r="A336" s="153" t="s">
        <v>79</v>
      </c>
      <c r="B336" s="49">
        <v>212.79</v>
      </c>
      <c r="C336" s="49">
        <v>94.195999999999998</v>
      </c>
      <c r="D336" s="49">
        <v>62.911000000000001</v>
      </c>
      <c r="E336" s="49">
        <v>64.878</v>
      </c>
      <c r="F336" s="49">
        <v>37.893000000000001</v>
      </c>
      <c r="G336" s="49">
        <v>100.176</v>
      </c>
      <c r="H336" s="49">
        <v>11.414999999999999</v>
      </c>
      <c r="I336" s="50">
        <v>584.25900000000001</v>
      </c>
      <c r="J336" s="49">
        <v>7.1689999999999996</v>
      </c>
      <c r="K336" s="49">
        <v>182.511</v>
      </c>
      <c r="L336" s="49">
        <v>92.600999999999999</v>
      </c>
      <c r="M336" s="49">
        <v>32.819000000000003</v>
      </c>
      <c r="N336" s="49">
        <v>315.10000000000002</v>
      </c>
      <c r="O336" s="49">
        <v>899.35900000000004</v>
      </c>
      <c r="P336" s="99"/>
      <c r="Q336" s="99"/>
      <c r="R336" s="99"/>
      <c r="S336" s="99"/>
      <c r="T336" s="99"/>
    </row>
    <row r="337" spans="1:20" x14ac:dyDescent="0.2">
      <c r="A337" s="153" t="s">
        <v>89</v>
      </c>
      <c r="B337" s="49">
        <v>214.607</v>
      </c>
      <c r="C337" s="49">
        <v>107.721</v>
      </c>
      <c r="D337" s="49">
        <v>63.228000000000002</v>
      </c>
      <c r="E337" s="49">
        <v>64.897000000000006</v>
      </c>
      <c r="F337" s="49">
        <v>33.878999999999998</v>
      </c>
      <c r="G337" s="49">
        <v>96.347999999999999</v>
      </c>
      <c r="H337" s="49">
        <v>9.968</v>
      </c>
      <c r="I337" s="50">
        <v>590.64799999999991</v>
      </c>
      <c r="J337" s="49">
        <v>7.9359999999999999</v>
      </c>
      <c r="K337" s="49">
        <v>192.559</v>
      </c>
      <c r="L337" s="49">
        <v>102.604</v>
      </c>
      <c r="M337" s="49">
        <v>26.052</v>
      </c>
      <c r="N337" s="49">
        <v>329.15100000000001</v>
      </c>
      <c r="O337" s="49">
        <v>919.79899999999998</v>
      </c>
      <c r="P337" s="99"/>
      <c r="Q337" s="99"/>
      <c r="R337" s="99"/>
      <c r="S337" s="99"/>
      <c r="T337" s="99"/>
    </row>
    <row r="338" spans="1:20" x14ac:dyDescent="0.2">
      <c r="A338" s="153" t="s">
        <v>127</v>
      </c>
      <c r="B338" s="49">
        <v>636.97799999999995</v>
      </c>
      <c r="C338" s="49">
        <v>303.21100000000001</v>
      </c>
      <c r="D338" s="49">
        <v>187.59</v>
      </c>
      <c r="E338" s="49">
        <v>188.358</v>
      </c>
      <c r="F338" s="49">
        <v>104.28100000000001</v>
      </c>
      <c r="G338" s="49">
        <v>289.471</v>
      </c>
      <c r="H338" s="49">
        <v>33.123999999999995</v>
      </c>
      <c r="I338" s="50">
        <v>1743.0129999999999</v>
      </c>
      <c r="J338" s="49">
        <v>21.969000000000001</v>
      </c>
      <c r="K338" s="49">
        <v>567.77499999999998</v>
      </c>
      <c r="L338" s="49">
        <v>288.02299999999997</v>
      </c>
      <c r="M338" s="49">
        <v>83.427999999999997</v>
      </c>
      <c r="N338" s="49">
        <v>961.19499999999994</v>
      </c>
      <c r="O338" s="49">
        <v>2704.2080000000001</v>
      </c>
      <c r="P338" s="99"/>
      <c r="Q338" s="99"/>
      <c r="R338" s="99"/>
      <c r="S338" s="99"/>
      <c r="T338" s="99"/>
    </row>
    <row r="339" spans="1:20" x14ac:dyDescent="0.2">
      <c r="A339" s="153" t="s">
        <v>90</v>
      </c>
      <c r="B339" s="49">
        <v>209.91499999999999</v>
      </c>
      <c r="C339" s="49">
        <v>97.86</v>
      </c>
      <c r="D339" s="49">
        <v>61.392000000000003</v>
      </c>
      <c r="E339" s="49">
        <v>64.423000000000002</v>
      </c>
      <c r="F339" s="49">
        <v>32.542000000000002</v>
      </c>
      <c r="G339" s="49">
        <v>95.924000000000007</v>
      </c>
      <c r="H339" s="49">
        <v>10.946</v>
      </c>
      <c r="I339" s="50">
        <v>573.00199999999995</v>
      </c>
      <c r="J339" s="49">
        <v>6.5979999999999999</v>
      </c>
      <c r="K339" s="49">
        <v>181.82300000000001</v>
      </c>
      <c r="L339" s="49">
        <v>104.494</v>
      </c>
      <c r="M339" s="49">
        <v>25.773</v>
      </c>
      <c r="N339" s="49">
        <v>318.68799999999999</v>
      </c>
      <c r="O339" s="49">
        <v>891.68999999999994</v>
      </c>
      <c r="P339" s="99"/>
      <c r="Q339" s="99"/>
      <c r="R339" s="99"/>
      <c r="S339" s="99"/>
      <c r="T339" s="99"/>
    </row>
    <row r="340" spans="1:20" x14ac:dyDescent="0.2">
      <c r="A340" s="153" t="s">
        <v>81</v>
      </c>
      <c r="B340" s="49">
        <v>221.977</v>
      </c>
      <c r="C340" s="49">
        <v>99.197999999999993</v>
      </c>
      <c r="D340" s="49">
        <v>64.891000000000005</v>
      </c>
      <c r="E340" s="49">
        <v>69.587999999999994</v>
      </c>
      <c r="F340" s="49">
        <v>33.271999999999998</v>
      </c>
      <c r="G340" s="49">
        <v>96.352999999999994</v>
      </c>
      <c r="H340" s="49">
        <v>10.372</v>
      </c>
      <c r="I340" s="50">
        <v>595.65099999999995</v>
      </c>
      <c r="J340" s="49">
        <v>6.76</v>
      </c>
      <c r="K340" s="49">
        <v>183.36</v>
      </c>
      <c r="L340" s="49">
        <v>107.21</v>
      </c>
      <c r="M340" s="49">
        <v>18.355</v>
      </c>
      <c r="N340" s="49">
        <v>315.685</v>
      </c>
      <c r="O340" s="49">
        <v>911.3359999999999</v>
      </c>
      <c r="P340" s="99"/>
      <c r="Q340" s="99"/>
      <c r="R340" s="99"/>
      <c r="S340" s="99"/>
      <c r="T340" s="99"/>
    </row>
    <row r="341" spans="1:20" x14ac:dyDescent="0.2">
      <c r="A341" s="153" t="s">
        <v>82</v>
      </c>
      <c r="B341" s="49">
        <v>216.261</v>
      </c>
      <c r="C341" s="49">
        <v>111.413</v>
      </c>
      <c r="D341" s="49">
        <v>68.941000000000003</v>
      </c>
      <c r="E341" s="49">
        <v>61.332000000000001</v>
      </c>
      <c r="F341" s="49">
        <v>33.228999999999999</v>
      </c>
      <c r="G341" s="49">
        <v>97.084000000000003</v>
      </c>
      <c r="H341" s="49">
        <v>11.914</v>
      </c>
      <c r="I341" s="50">
        <v>600.17399999999998</v>
      </c>
      <c r="J341" s="49">
        <v>8.0039999999999996</v>
      </c>
      <c r="K341" s="49">
        <v>196.93199999999999</v>
      </c>
      <c r="L341" s="49">
        <v>120.955</v>
      </c>
      <c r="M341" s="49">
        <v>24.663</v>
      </c>
      <c r="N341" s="49">
        <v>350.55399999999997</v>
      </c>
      <c r="O341" s="49">
        <v>950.72799999999995</v>
      </c>
      <c r="P341" s="99"/>
      <c r="Q341" s="99"/>
      <c r="R341" s="99"/>
      <c r="S341" s="99"/>
      <c r="T341" s="99"/>
    </row>
    <row r="342" spans="1:20" x14ac:dyDescent="0.2">
      <c r="A342" s="153" t="s">
        <v>128</v>
      </c>
      <c r="B342" s="49">
        <v>648.15300000000002</v>
      </c>
      <c r="C342" s="49">
        <v>308.471</v>
      </c>
      <c r="D342" s="49">
        <v>195.22400000000002</v>
      </c>
      <c r="E342" s="49">
        <v>195.34299999999999</v>
      </c>
      <c r="F342" s="49">
        <v>99.042999999999992</v>
      </c>
      <c r="G342" s="49">
        <v>289.36099999999999</v>
      </c>
      <c r="H342" s="49">
        <v>33.231999999999999</v>
      </c>
      <c r="I342" s="50">
        <v>1768.8269999999998</v>
      </c>
      <c r="J342" s="49">
        <v>21.362000000000002</v>
      </c>
      <c r="K342" s="49">
        <v>562.11500000000001</v>
      </c>
      <c r="L342" s="49">
        <v>332.65899999999999</v>
      </c>
      <c r="M342" s="49">
        <v>68.790999999999997</v>
      </c>
      <c r="N342" s="49">
        <v>984.92700000000002</v>
      </c>
      <c r="O342" s="49">
        <v>2753.7539999999999</v>
      </c>
      <c r="P342" s="99"/>
      <c r="Q342" s="99"/>
      <c r="R342" s="99"/>
      <c r="S342" s="99"/>
      <c r="T342" s="99"/>
    </row>
    <row r="343" spans="1:20" x14ac:dyDescent="0.2">
      <c r="A343" s="153" t="s">
        <v>135</v>
      </c>
      <c r="B343" s="49">
        <v>226.995</v>
      </c>
      <c r="C343" s="49">
        <v>103.873</v>
      </c>
      <c r="D343" s="49">
        <v>72.463999999999999</v>
      </c>
      <c r="E343" s="49">
        <v>59.7</v>
      </c>
      <c r="F343" s="49">
        <v>40.146000000000001</v>
      </c>
      <c r="G343" s="49">
        <v>111.602</v>
      </c>
      <c r="H343" s="49">
        <v>9.5719999999999992</v>
      </c>
      <c r="I343" s="50">
        <v>624.35199999999998</v>
      </c>
      <c r="J343" s="50">
        <v>6.7759999999999998</v>
      </c>
      <c r="K343" s="49">
        <v>200.422</v>
      </c>
      <c r="L343" s="49">
        <v>124.937</v>
      </c>
      <c r="M343" s="49">
        <v>32.207000000000001</v>
      </c>
      <c r="N343" s="49">
        <v>364.34199999999998</v>
      </c>
      <c r="O343" s="49">
        <v>988.69399999999996</v>
      </c>
      <c r="P343" s="99"/>
      <c r="Q343" s="99"/>
      <c r="R343" s="99"/>
      <c r="S343" s="99"/>
      <c r="T343" s="99"/>
    </row>
    <row r="344" spans="1:20" x14ac:dyDescent="0.2">
      <c r="A344" s="153" t="s">
        <v>148</v>
      </c>
      <c r="B344" s="49">
        <v>194.893</v>
      </c>
      <c r="C344" s="49">
        <v>92.557000000000002</v>
      </c>
      <c r="D344" s="49">
        <v>64.322000000000003</v>
      </c>
      <c r="E344" s="49">
        <v>49.667999999999999</v>
      </c>
      <c r="F344" s="49">
        <v>35.597999999999999</v>
      </c>
      <c r="G344" s="49">
        <v>97.948999999999998</v>
      </c>
      <c r="H344" s="49">
        <v>10.483000000000001</v>
      </c>
      <c r="I344" s="50">
        <v>545.46999999999991</v>
      </c>
      <c r="J344" s="50">
        <v>6.5510000000000002</v>
      </c>
      <c r="K344" s="49">
        <v>178.86799999999999</v>
      </c>
      <c r="L344" s="49">
        <v>124.636</v>
      </c>
      <c r="M344" s="49">
        <v>24.445</v>
      </c>
      <c r="N344" s="49">
        <v>335.04999999999995</v>
      </c>
      <c r="O344" s="49">
        <v>880.51999999999987</v>
      </c>
      <c r="P344" s="99"/>
      <c r="Q344" s="99"/>
      <c r="R344" s="99"/>
      <c r="S344" s="99"/>
      <c r="T344" s="99"/>
    </row>
    <row r="345" spans="1:20" x14ac:dyDescent="0.2">
      <c r="A345" s="153" t="s">
        <v>87</v>
      </c>
      <c r="B345" s="49">
        <v>193.00700000000001</v>
      </c>
      <c r="C345" s="49">
        <v>81.956999999999994</v>
      </c>
      <c r="D345" s="49">
        <v>62.874000000000002</v>
      </c>
      <c r="E345" s="49">
        <v>52.578000000000003</v>
      </c>
      <c r="F345" s="49">
        <v>29.123000000000001</v>
      </c>
      <c r="G345" s="49">
        <v>92.406999999999996</v>
      </c>
      <c r="H345" s="49">
        <v>11.095000000000001</v>
      </c>
      <c r="I345" s="50">
        <v>523.04100000000005</v>
      </c>
      <c r="J345" s="50">
        <v>6.4729999999999999</v>
      </c>
      <c r="K345" s="49">
        <v>197.715</v>
      </c>
      <c r="L345" s="49">
        <v>107.849</v>
      </c>
      <c r="M345" s="49">
        <v>21.787000000000003</v>
      </c>
      <c r="N345" s="49">
        <v>333.82400000000001</v>
      </c>
      <c r="O345" s="49">
        <v>856.86500000000001</v>
      </c>
      <c r="P345" s="99"/>
      <c r="Q345" s="99"/>
      <c r="R345" s="99"/>
      <c r="S345" s="99"/>
      <c r="T345" s="99"/>
    </row>
    <row r="346" spans="1:20" x14ac:dyDescent="0.2">
      <c r="A346" s="153" t="s">
        <v>129</v>
      </c>
      <c r="B346" s="49">
        <v>614.89499999999998</v>
      </c>
      <c r="C346" s="49">
        <v>278.387</v>
      </c>
      <c r="D346" s="49">
        <v>199.66</v>
      </c>
      <c r="E346" s="49">
        <v>161.946</v>
      </c>
      <c r="F346" s="49">
        <v>104.867</v>
      </c>
      <c r="G346" s="49">
        <v>301.95799999999997</v>
      </c>
      <c r="H346" s="49">
        <v>31.15</v>
      </c>
      <c r="I346" s="50">
        <v>1692.8629999999998</v>
      </c>
      <c r="J346" s="50">
        <v>19.8</v>
      </c>
      <c r="K346" s="49">
        <v>577.005</v>
      </c>
      <c r="L346" s="49">
        <v>357.42199999999997</v>
      </c>
      <c r="M346" s="49">
        <v>78.439000000000007</v>
      </c>
      <c r="N346" s="49">
        <v>1033.2159999999999</v>
      </c>
      <c r="O346" s="49">
        <v>2726.0789999999997</v>
      </c>
      <c r="P346" s="99"/>
      <c r="Q346" s="99"/>
      <c r="R346" s="99"/>
      <c r="S346" s="99"/>
      <c r="T346" s="99"/>
    </row>
    <row r="347" spans="1:20" x14ac:dyDescent="0.2">
      <c r="A347" s="86"/>
      <c r="I347" s="50"/>
      <c r="J347" s="50"/>
      <c r="P347" s="99"/>
      <c r="Q347" s="99"/>
      <c r="R347" s="99"/>
      <c r="S347" s="99"/>
      <c r="T347" s="99"/>
    </row>
    <row r="348" spans="1:20" x14ac:dyDescent="0.2">
      <c r="A348" s="76" t="s">
        <v>133</v>
      </c>
      <c r="I348" s="50"/>
      <c r="J348" s="50"/>
      <c r="P348" s="99"/>
      <c r="Q348" s="99"/>
      <c r="R348" s="99"/>
      <c r="S348" s="99"/>
      <c r="T348" s="99"/>
    </row>
    <row r="349" spans="1:20" x14ac:dyDescent="0.2">
      <c r="A349" s="76" t="s">
        <v>74</v>
      </c>
      <c r="B349" s="49">
        <v>203.93799999999999</v>
      </c>
      <c r="C349" s="49">
        <v>86.046999999999997</v>
      </c>
      <c r="D349" s="49">
        <v>61.981000000000002</v>
      </c>
      <c r="E349" s="49">
        <v>57.749000000000002</v>
      </c>
      <c r="F349" s="49">
        <v>36.4</v>
      </c>
      <c r="G349" s="49">
        <v>84.730999999999995</v>
      </c>
      <c r="H349" s="49">
        <v>10.426</v>
      </c>
      <c r="I349" s="50">
        <v>543.25300000000004</v>
      </c>
      <c r="J349" s="50">
        <v>5.1929999999999996</v>
      </c>
      <c r="K349" s="49">
        <v>83.548000000000002</v>
      </c>
      <c r="L349" s="49">
        <v>168.82599999999999</v>
      </c>
      <c r="M349" s="49">
        <v>25.562999999999999</v>
      </c>
      <c r="N349" s="49">
        <v>283.33099999999996</v>
      </c>
      <c r="O349" s="49">
        <v>826.58400000000006</v>
      </c>
      <c r="P349" s="99"/>
      <c r="Q349" s="99"/>
      <c r="R349" s="99"/>
      <c r="S349" s="99"/>
      <c r="T349" s="99"/>
    </row>
    <row r="350" spans="1:20" x14ac:dyDescent="0.2">
      <c r="A350" s="76" t="s">
        <v>140</v>
      </c>
      <c r="B350" s="49">
        <v>197.57</v>
      </c>
      <c r="C350" s="49">
        <v>82.251000000000005</v>
      </c>
      <c r="D350" s="49">
        <v>57.451000000000001</v>
      </c>
      <c r="E350" s="49">
        <v>47.728999999999999</v>
      </c>
      <c r="F350" s="49">
        <v>32.433</v>
      </c>
      <c r="G350" s="49">
        <v>76.622</v>
      </c>
      <c r="H350" s="49">
        <v>10.444000000000001</v>
      </c>
      <c r="I350" s="50">
        <v>506.15300000000002</v>
      </c>
      <c r="J350" s="50">
        <v>5.5519999999999996</v>
      </c>
      <c r="K350" s="49">
        <v>79.828999999999994</v>
      </c>
      <c r="L350" s="49">
        <v>181.392</v>
      </c>
      <c r="M350" s="49">
        <v>24.748999999999999</v>
      </c>
      <c r="N350" s="49">
        <v>291.76499999999999</v>
      </c>
      <c r="O350" s="49">
        <v>797.91800000000001</v>
      </c>
      <c r="P350" s="99"/>
      <c r="Q350" s="99"/>
      <c r="R350" s="99"/>
      <c r="S350" s="99"/>
      <c r="T350" s="99"/>
    </row>
    <row r="351" spans="1:20" x14ac:dyDescent="0.2">
      <c r="A351" s="76" t="s">
        <v>76</v>
      </c>
      <c r="B351" s="49">
        <v>216.22399999999999</v>
      </c>
      <c r="C351" s="49">
        <v>92.628</v>
      </c>
      <c r="D351" s="49">
        <v>66.129000000000005</v>
      </c>
      <c r="E351" s="49">
        <v>51.167999999999999</v>
      </c>
      <c r="F351" s="49">
        <v>40.301000000000002</v>
      </c>
      <c r="G351" s="49">
        <v>87.24</v>
      </c>
      <c r="H351" s="49">
        <v>12.555</v>
      </c>
      <c r="I351" s="50">
        <v>568.40300000000013</v>
      </c>
      <c r="J351" s="50">
        <v>8.9809999999999999</v>
      </c>
      <c r="K351" s="49">
        <v>138.07900000000001</v>
      </c>
      <c r="L351" s="49">
        <v>229.756</v>
      </c>
      <c r="M351" s="49">
        <v>33.79</v>
      </c>
      <c r="N351" s="49">
        <v>410.81700000000001</v>
      </c>
      <c r="O351" s="49">
        <v>979.22000000000014</v>
      </c>
      <c r="P351" s="99"/>
      <c r="Q351" s="99"/>
      <c r="R351" s="99"/>
      <c r="S351" s="99"/>
      <c r="T351" s="99"/>
    </row>
    <row r="352" spans="1:20" x14ac:dyDescent="0.2">
      <c r="A352" s="86" t="s">
        <v>126</v>
      </c>
      <c r="B352" s="49">
        <v>618.70600000000002</v>
      </c>
      <c r="C352" s="49">
        <v>260.97300000000001</v>
      </c>
      <c r="D352" s="49">
        <v>185.56200000000001</v>
      </c>
      <c r="E352" s="49">
        <v>156.82499999999999</v>
      </c>
      <c r="F352" s="49">
        <v>109.28100000000001</v>
      </c>
      <c r="G352" s="49">
        <v>248.73700000000002</v>
      </c>
      <c r="H352" s="49">
        <v>37.725000000000001</v>
      </c>
      <c r="I352" s="50">
        <v>1617.8090000000002</v>
      </c>
      <c r="J352" s="50">
        <v>19.726999999999997</v>
      </c>
      <c r="K352" s="49">
        <v>580.60199999999998</v>
      </c>
      <c r="L352" s="49">
        <v>301.48199999999997</v>
      </c>
      <c r="M352" s="49">
        <v>84.102000000000004</v>
      </c>
      <c r="N352" s="49">
        <v>985.91300000000001</v>
      </c>
      <c r="O352" s="49">
        <v>2603.7220000000002</v>
      </c>
      <c r="P352" s="99"/>
      <c r="Q352" s="99"/>
      <c r="R352" s="99"/>
      <c r="S352" s="99"/>
      <c r="T352" s="99"/>
    </row>
    <row r="353" spans="1:20" x14ac:dyDescent="0.2">
      <c r="A353" s="76" t="s">
        <v>78</v>
      </c>
      <c r="B353" s="49">
        <v>175.05799999999999</v>
      </c>
      <c r="C353" s="49">
        <v>79.685000000000002</v>
      </c>
      <c r="D353" s="49">
        <v>56.447000000000003</v>
      </c>
      <c r="E353" s="49">
        <v>45.256</v>
      </c>
      <c r="F353" s="49">
        <v>35.436</v>
      </c>
      <c r="G353" s="49">
        <v>71.100999999999999</v>
      </c>
      <c r="H353" s="49">
        <v>10.571</v>
      </c>
      <c r="I353" s="50">
        <v>475.23899999999998</v>
      </c>
      <c r="J353" s="50">
        <v>6.835</v>
      </c>
      <c r="K353" s="49">
        <v>111.063</v>
      </c>
      <c r="L353" s="49">
        <v>151.964</v>
      </c>
      <c r="M353" s="49">
        <v>19.298999999999999</v>
      </c>
      <c r="N353" s="49">
        <v>289.32200000000006</v>
      </c>
      <c r="O353" s="49">
        <v>764.56100000000004</v>
      </c>
      <c r="P353" s="99"/>
      <c r="Q353" s="99"/>
      <c r="R353" s="99"/>
      <c r="S353" s="99"/>
      <c r="T353" s="99"/>
    </row>
    <row r="354" spans="1:20" x14ac:dyDescent="0.2">
      <c r="A354" s="153" t="s">
        <v>79</v>
      </c>
      <c r="B354" s="49">
        <v>185.75</v>
      </c>
      <c r="C354" s="49">
        <v>75.578999999999994</v>
      </c>
      <c r="D354" s="49">
        <v>61.686999999999998</v>
      </c>
      <c r="E354" s="49">
        <v>43.792999999999999</v>
      </c>
      <c r="F354" s="49">
        <v>33.655999999999999</v>
      </c>
      <c r="G354" s="49">
        <v>70.551000000000002</v>
      </c>
      <c r="H354" s="49">
        <v>9.6229999999999993</v>
      </c>
      <c r="I354" s="50">
        <v>481.95699999999999</v>
      </c>
      <c r="J354" s="50">
        <v>8.0150000000000006</v>
      </c>
      <c r="K354" s="49">
        <v>106.982</v>
      </c>
      <c r="L354" s="49">
        <v>172.238</v>
      </c>
      <c r="M354" s="49">
        <v>26.465</v>
      </c>
      <c r="N354" s="49">
        <v>313.839</v>
      </c>
      <c r="O354" s="49">
        <v>795.79600000000005</v>
      </c>
      <c r="P354" s="99"/>
      <c r="Q354" s="99"/>
      <c r="R354" s="99"/>
      <c r="S354" s="99"/>
      <c r="T354" s="99"/>
    </row>
    <row r="355" spans="1:20" x14ac:dyDescent="0.2">
      <c r="A355" s="153" t="s">
        <v>89</v>
      </c>
      <c r="B355" s="49">
        <v>201.607</v>
      </c>
      <c r="C355" s="49">
        <v>75.73</v>
      </c>
      <c r="D355" s="49">
        <v>64.263999999999996</v>
      </c>
      <c r="E355" s="49">
        <v>53.075000000000003</v>
      </c>
      <c r="F355" s="49">
        <v>40.313000000000002</v>
      </c>
      <c r="G355" s="49">
        <v>85.319000000000003</v>
      </c>
      <c r="H355" s="49">
        <v>11.472</v>
      </c>
      <c r="I355" s="50">
        <v>531.77800000000002</v>
      </c>
      <c r="J355" s="50">
        <v>7.3609999999999998</v>
      </c>
      <c r="K355" s="49">
        <v>97.198999999999998</v>
      </c>
      <c r="L355" s="49">
        <v>174.70699999999999</v>
      </c>
      <c r="M355" s="49">
        <v>23.146000000000001</v>
      </c>
      <c r="N355" s="49">
        <v>302.41399999999999</v>
      </c>
      <c r="O355" s="49">
        <v>834.19200000000001</v>
      </c>
      <c r="P355" s="99"/>
      <c r="Q355" s="99"/>
      <c r="R355" s="99"/>
      <c r="S355" s="99"/>
      <c r="T355" s="99"/>
    </row>
    <row r="356" spans="1:20" x14ac:dyDescent="0.2">
      <c r="A356" s="153" t="s">
        <v>127</v>
      </c>
      <c r="B356" s="49">
        <v>563.01299999999992</v>
      </c>
      <c r="C356" s="49">
        <v>231.02199999999999</v>
      </c>
      <c r="D356" s="49">
        <v>182.39699999999999</v>
      </c>
      <c r="E356" s="49">
        <v>142.25400000000002</v>
      </c>
      <c r="F356" s="49">
        <v>109.491</v>
      </c>
      <c r="G356" s="49">
        <v>227.101</v>
      </c>
      <c r="H356" s="49">
        <v>33.695999999999998</v>
      </c>
      <c r="I356" s="50">
        <v>1488.9739999999999</v>
      </c>
      <c r="J356" s="50">
        <v>22.211000000000002</v>
      </c>
      <c r="K356" s="49">
        <v>499.19400000000002</v>
      </c>
      <c r="L356" s="49">
        <v>315.26</v>
      </c>
      <c r="M356" s="49">
        <v>68.91</v>
      </c>
      <c r="N356" s="49">
        <v>905.57500000000005</v>
      </c>
      <c r="O356" s="49">
        <v>2394.549</v>
      </c>
      <c r="P356" s="99"/>
      <c r="Q356" s="99"/>
      <c r="R356" s="99"/>
      <c r="S356" s="99"/>
      <c r="T356" s="99"/>
    </row>
    <row r="357" spans="1:20" x14ac:dyDescent="0.2">
      <c r="A357" s="153" t="s">
        <v>90</v>
      </c>
      <c r="B357" s="49">
        <v>210.506</v>
      </c>
      <c r="C357" s="49">
        <v>87.454999999999998</v>
      </c>
      <c r="D357" s="49">
        <v>62.723999999999997</v>
      </c>
      <c r="E357" s="49">
        <v>55.838000000000001</v>
      </c>
      <c r="F357" s="49">
        <v>35.555</v>
      </c>
      <c r="G357" s="49">
        <v>81.790999999999997</v>
      </c>
      <c r="H357" s="49">
        <v>13.891</v>
      </c>
      <c r="I357" s="50">
        <v>548.21299999999997</v>
      </c>
      <c r="J357" s="50">
        <v>7.3529999999999998</v>
      </c>
      <c r="K357" s="49">
        <v>100.17400000000001</v>
      </c>
      <c r="L357" s="49">
        <v>183.274</v>
      </c>
      <c r="M357" s="49">
        <v>26.341000000000001</v>
      </c>
      <c r="N357" s="49">
        <v>317.14300000000003</v>
      </c>
      <c r="O357" s="49">
        <v>865.35599999999999</v>
      </c>
      <c r="P357" s="99"/>
      <c r="Q357" s="99"/>
      <c r="R357" s="99"/>
      <c r="S357" s="99"/>
      <c r="T357" s="99"/>
    </row>
    <row r="358" spans="1:20" x14ac:dyDescent="0.2">
      <c r="A358" s="153" t="s">
        <v>81</v>
      </c>
      <c r="B358" s="49">
        <v>205.947</v>
      </c>
      <c r="C358" s="49">
        <v>86.462999999999994</v>
      </c>
      <c r="D358" s="49">
        <v>67.97</v>
      </c>
      <c r="E358" s="49">
        <v>55.2</v>
      </c>
      <c r="F358" s="49">
        <v>38.652999999999999</v>
      </c>
      <c r="G358" s="49">
        <v>79.001000000000005</v>
      </c>
      <c r="H358" s="49">
        <v>14.65</v>
      </c>
      <c r="I358" s="50">
        <v>547.88599999999997</v>
      </c>
      <c r="J358" s="50">
        <v>9.5809999999999995</v>
      </c>
      <c r="K358" s="49">
        <v>117.854</v>
      </c>
      <c r="L358" s="49">
        <v>201.38900000000001</v>
      </c>
      <c r="M358" s="49">
        <v>25.417999999999999</v>
      </c>
      <c r="N358" s="49">
        <v>354.24200000000002</v>
      </c>
      <c r="O358" s="49">
        <v>902.12799999999993</v>
      </c>
      <c r="P358" s="99"/>
      <c r="Q358" s="99"/>
      <c r="R358" s="99"/>
      <c r="S358" s="99"/>
      <c r="T358" s="99"/>
    </row>
    <row r="359" spans="1:20" x14ac:dyDescent="0.2">
      <c r="A359" s="153" t="s">
        <v>82</v>
      </c>
      <c r="B359" s="49">
        <v>217.721</v>
      </c>
      <c r="C359" s="49">
        <v>91.25</v>
      </c>
      <c r="D359" s="49">
        <v>63.593000000000004</v>
      </c>
      <c r="E359" s="49">
        <v>48.628</v>
      </c>
      <c r="F359" s="49">
        <v>38.241</v>
      </c>
      <c r="G359" s="49">
        <v>91.49</v>
      </c>
      <c r="H359" s="49">
        <v>11.957000000000001</v>
      </c>
      <c r="I359" s="50">
        <v>562.87800000000004</v>
      </c>
      <c r="J359" s="50">
        <v>7.585</v>
      </c>
      <c r="K359" s="49">
        <v>109.47199999999999</v>
      </c>
      <c r="L359" s="49">
        <v>202.06</v>
      </c>
      <c r="M359" s="49">
        <v>28.603000000000002</v>
      </c>
      <c r="N359" s="49">
        <v>347.71800000000002</v>
      </c>
      <c r="O359" s="49">
        <v>910.596</v>
      </c>
      <c r="P359" s="99"/>
      <c r="Q359" s="99"/>
      <c r="R359" s="99"/>
      <c r="S359" s="99"/>
      <c r="T359" s="99"/>
    </row>
    <row r="360" spans="1:20" x14ac:dyDescent="0.2">
      <c r="A360" s="153" t="s">
        <v>128</v>
      </c>
      <c r="B360" s="49">
        <v>634.62699999999995</v>
      </c>
      <c r="C360" s="49">
        <v>265.16800000000001</v>
      </c>
      <c r="D360" s="49">
        <v>194.28699999999998</v>
      </c>
      <c r="E360" s="49">
        <v>159.666</v>
      </c>
      <c r="F360" s="49">
        <v>112.45</v>
      </c>
      <c r="G360" s="49">
        <v>252.28100000000001</v>
      </c>
      <c r="H360" s="49">
        <v>40.498000000000005</v>
      </c>
      <c r="I360" s="50">
        <v>1658.9769999999999</v>
      </c>
      <c r="J360" s="50">
        <v>24.517999999999997</v>
      </c>
      <c r="K360" s="49">
        <v>586.72199999999998</v>
      </c>
      <c r="L360" s="49">
        <v>327.5</v>
      </c>
      <c r="M360" s="49">
        <v>80.363</v>
      </c>
      <c r="N360" s="49">
        <v>1019.1030000000001</v>
      </c>
      <c r="O360" s="49">
        <v>2678.08</v>
      </c>
      <c r="P360" s="99"/>
      <c r="Q360" s="99"/>
      <c r="R360" s="99"/>
      <c r="S360" s="99"/>
      <c r="T360" s="99"/>
    </row>
    <row r="361" spans="1:20" x14ac:dyDescent="0.2">
      <c r="A361" s="153" t="s">
        <v>135</v>
      </c>
      <c r="B361" s="49">
        <v>223.23599999999999</v>
      </c>
      <c r="C361" s="49">
        <v>90.414000000000001</v>
      </c>
      <c r="D361" s="49">
        <v>71.501999999999995</v>
      </c>
      <c r="E361" s="49">
        <v>55.524999999999999</v>
      </c>
      <c r="F361" s="49">
        <v>36.856999999999999</v>
      </c>
      <c r="G361" s="49">
        <v>100.184</v>
      </c>
      <c r="H361" s="49">
        <v>10.95</v>
      </c>
      <c r="I361" s="50">
        <v>588.66800000000001</v>
      </c>
      <c r="J361" s="50">
        <v>7.859</v>
      </c>
      <c r="K361" s="49">
        <v>128.87700000000001</v>
      </c>
      <c r="L361" s="49">
        <v>205.101</v>
      </c>
      <c r="M361" s="49">
        <v>26.835999999999999</v>
      </c>
      <c r="N361" s="49">
        <v>368.67299999999994</v>
      </c>
      <c r="O361" s="49">
        <v>957.34099999999989</v>
      </c>
      <c r="P361" s="99"/>
      <c r="Q361" s="99"/>
      <c r="R361" s="99"/>
      <c r="S361" s="99"/>
      <c r="T361" s="99"/>
    </row>
    <row r="362" spans="1:20" x14ac:dyDescent="0.2">
      <c r="A362" s="153" t="s">
        <v>148</v>
      </c>
      <c r="B362" s="49">
        <v>199.44</v>
      </c>
      <c r="C362" s="49">
        <v>83.971999999999994</v>
      </c>
      <c r="D362" s="49">
        <v>68.805000000000007</v>
      </c>
      <c r="E362" s="49">
        <v>53.485999999999997</v>
      </c>
      <c r="F362" s="49">
        <v>32.564999999999998</v>
      </c>
      <c r="G362" s="49">
        <v>97.1</v>
      </c>
      <c r="H362" s="49">
        <v>10.670999999999999</v>
      </c>
      <c r="I362" s="50">
        <v>546.03899999999999</v>
      </c>
      <c r="J362" s="50">
        <v>9.0749999999999993</v>
      </c>
      <c r="K362" s="49">
        <v>136.31299999999999</v>
      </c>
      <c r="L362" s="49">
        <v>207.255</v>
      </c>
      <c r="M362" s="49">
        <v>23.387</v>
      </c>
      <c r="N362" s="49">
        <v>376.02900000000005</v>
      </c>
      <c r="O362" s="49">
        <v>922.06799999999998</v>
      </c>
      <c r="P362" s="99"/>
      <c r="Q362" s="99"/>
      <c r="R362" s="99"/>
      <c r="S362" s="99"/>
      <c r="T362" s="99"/>
    </row>
    <row r="363" spans="1:20" x14ac:dyDescent="0.2">
      <c r="A363" s="153" t="s">
        <v>87</v>
      </c>
      <c r="B363" s="49">
        <v>182.149</v>
      </c>
      <c r="C363" s="49">
        <v>61.679000000000002</v>
      </c>
      <c r="D363" s="49">
        <v>63.273000000000003</v>
      </c>
      <c r="E363" s="49">
        <v>51.841999999999999</v>
      </c>
      <c r="F363" s="49">
        <v>29.466000000000001</v>
      </c>
      <c r="G363" s="49">
        <v>90.497</v>
      </c>
      <c r="H363" s="49">
        <v>9.5570000000000004</v>
      </c>
      <c r="I363" s="50">
        <v>488.46500000000009</v>
      </c>
      <c r="J363" s="50">
        <v>6.6520000000000001</v>
      </c>
      <c r="K363" s="49">
        <v>101.291</v>
      </c>
      <c r="L363" s="49">
        <v>165.15600000000001</v>
      </c>
      <c r="M363" s="49">
        <v>22.782</v>
      </c>
      <c r="N363" s="49">
        <v>295.88100000000003</v>
      </c>
      <c r="O363" s="49">
        <v>784.34600000000012</v>
      </c>
      <c r="P363" s="99"/>
      <c r="Q363" s="99"/>
      <c r="R363" s="99"/>
      <c r="S363" s="99"/>
      <c r="T363" s="99"/>
    </row>
    <row r="364" spans="1:20" x14ac:dyDescent="0.2">
      <c r="A364" s="153" t="s">
        <v>129</v>
      </c>
      <c r="B364" s="49">
        <v>604.82400000000007</v>
      </c>
      <c r="C364" s="49">
        <v>236.066</v>
      </c>
      <c r="D364" s="49">
        <v>203.58099999999999</v>
      </c>
      <c r="E364" s="49">
        <v>160.85399999999998</v>
      </c>
      <c r="F364" s="49">
        <v>98.888000000000005</v>
      </c>
      <c r="G364" s="49">
        <v>287.78100000000001</v>
      </c>
      <c r="H364" s="49">
        <v>31.177999999999997</v>
      </c>
      <c r="I364" s="49">
        <v>1623.172</v>
      </c>
      <c r="J364" s="49">
        <v>23.585000000000001</v>
      </c>
      <c r="K364" s="49">
        <v>577.51199999999994</v>
      </c>
      <c r="L364" s="49">
        <v>366.48400000000004</v>
      </c>
      <c r="M364" s="49">
        <v>73.00200000000001</v>
      </c>
      <c r="N364" s="49">
        <v>1040.5830000000001</v>
      </c>
      <c r="O364" s="49">
        <v>2663.7550000000001</v>
      </c>
      <c r="P364" s="99"/>
      <c r="Q364" s="99"/>
      <c r="R364" s="99"/>
      <c r="S364" s="99"/>
      <c r="T364" s="99"/>
    </row>
    <row r="365" spans="1:20" x14ac:dyDescent="0.2">
      <c r="A365" s="86"/>
      <c r="P365" s="99"/>
      <c r="Q365" s="99"/>
      <c r="R365" s="99"/>
      <c r="S365" s="99"/>
      <c r="T365" s="99"/>
    </row>
    <row r="366" spans="1:20" x14ac:dyDescent="0.2">
      <c r="A366" s="76" t="s">
        <v>134</v>
      </c>
      <c r="P366" s="99"/>
      <c r="Q366" s="99"/>
      <c r="R366" s="99"/>
      <c r="S366" s="99"/>
      <c r="T366" s="99"/>
    </row>
    <row r="367" spans="1:20" x14ac:dyDescent="0.2">
      <c r="A367" s="76" t="s">
        <v>74</v>
      </c>
      <c r="B367" s="49">
        <v>207.34700000000001</v>
      </c>
      <c r="C367" s="49">
        <v>81.73</v>
      </c>
      <c r="D367" s="49">
        <v>65.866</v>
      </c>
      <c r="E367" s="49">
        <v>52.982999999999997</v>
      </c>
      <c r="F367" s="49">
        <v>28.986999999999998</v>
      </c>
      <c r="G367" s="49">
        <v>94.233000000000004</v>
      </c>
      <c r="H367" s="49">
        <v>10.775</v>
      </c>
      <c r="I367" s="49">
        <v>541.92099999999994</v>
      </c>
      <c r="J367" s="49">
        <v>7.274</v>
      </c>
      <c r="K367" s="49">
        <v>175.834</v>
      </c>
      <c r="L367" s="49">
        <v>85.513999999999996</v>
      </c>
      <c r="M367" s="49">
        <f>1.273+25.733</f>
        <v>27.006</v>
      </c>
      <c r="N367" s="49">
        <v>295.62800000000004</v>
      </c>
      <c r="O367" s="49">
        <v>837.54899999999998</v>
      </c>
      <c r="P367" s="99"/>
      <c r="Q367" s="99"/>
      <c r="R367" s="99"/>
      <c r="S367" s="99"/>
      <c r="T367" s="99"/>
    </row>
    <row r="368" spans="1:20" x14ac:dyDescent="0.2">
      <c r="A368" s="76" t="s">
        <v>140</v>
      </c>
      <c r="B368" s="49">
        <v>186.614</v>
      </c>
      <c r="C368" s="49">
        <v>69.447000000000003</v>
      </c>
      <c r="D368" s="49">
        <v>58.997</v>
      </c>
      <c r="E368" s="49">
        <v>51.795000000000002</v>
      </c>
      <c r="F368" s="49">
        <v>28.443000000000001</v>
      </c>
      <c r="G368" s="49">
        <v>88.244</v>
      </c>
      <c r="H368" s="49">
        <v>9.3949999999999996</v>
      </c>
      <c r="I368" s="49">
        <v>492.93500000000006</v>
      </c>
      <c r="J368" s="49">
        <v>6.3170000000000002</v>
      </c>
      <c r="K368" s="49">
        <v>165.61199999999999</v>
      </c>
      <c r="L368" s="49">
        <v>78.191999999999993</v>
      </c>
      <c r="M368" s="49">
        <f>1.065+23.676</f>
        <v>24.741</v>
      </c>
      <c r="N368" s="49">
        <v>274.86199999999997</v>
      </c>
      <c r="O368" s="49">
        <f>N368+I368</f>
        <v>767.79700000000003</v>
      </c>
      <c r="P368" s="99"/>
      <c r="Q368" s="99"/>
      <c r="R368" s="99"/>
      <c r="S368" s="99"/>
      <c r="T368" s="99"/>
    </row>
    <row r="369" spans="1:20" x14ac:dyDescent="0.2">
      <c r="A369" s="76" t="s">
        <v>76</v>
      </c>
      <c r="B369" s="49">
        <v>220.33699999999999</v>
      </c>
      <c r="C369" s="49">
        <v>86.977999999999994</v>
      </c>
      <c r="D369" s="49">
        <v>73.399000000000001</v>
      </c>
      <c r="E369" s="49">
        <v>71.606999999999999</v>
      </c>
      <c r="F369" s="49">
        <v>35.203000000000003</v>
      </c>
      <c r="G369" s="49">
        <v>99.369</v>
      </c>
      <c r="H369" s="49">
        <v>11.661</v>
      </c>
      <c r="I369" s="49">
        <v>598.55399999999997</v>
      </c>
      <c r="J369" s="49">
        <v>7.0110000000000001</v>
      </c>
      <c r="K369" s="49">
        <v>197.52600000000001</v>
      </c>
      <c r="L369" s="49">
        <v>96.980999999999995</v>
      </c>
      <c r="M369" s="49">
        <f>1.207+26.183</f>
        <v>27.39</v>
      </c>
      <c r="N369" s="49">
        <v>328.90800000000002</v>
      </c>
      <c r="O369" s="49">
        <v>927.46199999999999</v>
      </c>
      <c r="P369" s="99"/>
      <c r="Q369" s="99"/>
      <c r="R369" s="99"/>
      <c r="S369" s="99"/>
      <c r="T369" s="99"/>
    </row>
    <row r="370" spans="1:20" x14ac:dyDescent="0.2">
      <c r="A370" s="86" t="s">
        <v>126</v>
      </c>
      <c r="B370" s="49">
        <v>614.298</v>
      </c>
      <c r="C370" s="49">
        <v>238.15500000000003</v>
      </c>
      <c r="D370" s="49">
        <f>SUM(D367:D369)</f>
        <v>198.262</v>
      </c>
      <c r="E370" s="49">
        <f t="shared" ref="E370:N370" si="40">SUM(E367:E369)</f>
        <v>176.38499999999999</v>
      </c>
      <c r="F370" s="49">
        <f t="shared" si="40"/>
        <v>92.63300000000001</v>
      </c>
      <c r="G370" s="49">
        <f t="shared" si="40"/>
        <v>281.846</v>
      </c>
      <c r="H370" s="49">
        <f t="shared" si="40"/>
        <v>31.831000000000003</v>
      </c>
      <c r="I370" s="49">
        <f t="shared" si="40"/>
        <v>1633.4099999999999</v>
      </c>
      <c r="J370" s="49">
        <f t="shared" si="40"/>
        <v>20.602</v>
      </c>
      <c r="K370" s="49">
        <f t="shared" si="40"/>
        <v>538.97199999999998</v>
      </c>
      <c r="L370" s="49">
        <f t="shared" si="40"/>
        <v>260.68700000000001</v>
      </c>
      <c r="M370" s="49">
        <f t="shared" si="40"/>
        <v>79.137</v>
      </c>
      <c r="N370" s="49">
        <f t="shared" si="40"/>
        <v>899.39800000000002</v>
      </c>
      <c r="O370" s="49">
        <f>I370+N370</f>
        <v>2532.808</v>
      </c>
      <c r="P370" s="99"/>
      <c r="Q370" s="99"/>
      <c r="R370" s="99"/>
      <c r="S370" s="99"/>
      <c r="T370" s="99"/>
    </row>
    <row r="371" spans="1:20" x14ac:dyDescent="0.2">
      <c r="A371" s="76" t="s">
        <v>78</v>
      </c>
      <c r="B371" s="49">
        <v>213.339</v>
      </c>
      <c r="C371" s="49">
        <v>84.6</v>
      </c>
      <c r="D371" s="49">
        <v>68.808999999999997</v>
      </c>
      <c r="E371" s="49">
        <v>71.203999999999994</v>
      </c>
      <c r="F371" s="49">
        <v>30.783999999999999</v>
      </c>
      <c r="G371" s="49">
        <v>84.7</v>
      </c>
      <c r="H371" s="49">
        <v>9.6389999999999993</v>
      </c>
      <c r="I371" s="49">
        <v>563.07499999999993</v>
      </c>
      <c r="J371" s="49">
        <v>7.0819999999999999</v>
      </c>
      <c r="K371" s="49">
        <v>188.55799999999999</v>
      </c>
      <c r="L371" s="49">
        <v>82.867000000000004</v>
      </c>
      <c r="M371" s="49">
        <f>1.16+23.393</f>
        <v>24.553000000000001</v>
      </c>
      <c r="N371" s="49">
        <v>303.06</v>
      </c>
      <c r="O371" s="49">
        <v>866.13499999999999</v>
      </c>
      <c r="P371" s="99"/>
      <c r="Q371" s="99"/>
      <c r="R371" s="99"/>
      <c r="S371" s="99"/>
      <c r="T371" s="99"/>
    </row>
    <row r="372" spans="1:20" x14ac:dyDescent="0.2">
      <c r="A372" s="153" t="s">
        <v>79</v>
      </c>
      <c r="B372" s="49">
        <v>211.16399999999999</v>
      </c>
      <c r="C372" s="49">
        <v>90.531999999999996</v>
      </c>
      <c r="D372" s="49">
        <v>74.221000000000004</v>
      </c>
      <c r="E372" s="49">
        <v>61.831000000000003</v>
      </c>
      <c r="F372" s="49">
        <v>32.643999999999998</v>
      </c>
      <c r="G372" s="49">
        <v>84.843999999999994</v>
      </c>
      <c r="H372" s="49">
        <v>11.289</v>
      </c>
      <c r="I372" s="49">
        <f>SUM(B372:H372)</f>
        <v>566.52499999999998</v>
      </c>
      <c r="J372" s="49">
        <v>8.641</v>
      </c>
      <c r="K372" s="49">
        <v>200.958</v>
      </c>
      <c r="L372" s="49">
        <v>96.878</v>
      </c>
      <c r="M372" s="49">
        <f>1.562+30.495</f>
        <v>32.057000000000002</v>
      </c>
      <c r="N372" s="49">
        <f>SUM(J372:M372)</f>
        <v>338.53399999999999</v>
      </c>
      <c r="O372" s="49">
        <f>I372+N372</f>
        <v>905.05899999999997</v>
      </c>
      <c r="P372" s="99"/>
      <c r="Q372" s="99"/>
      <c r="R372" s="99"/>
      <c r="S372" s="99"/>
      <c r="T372" s="99"/>
    </row>
    <row r="373" spans="1:20" x14ac:dyDescent="0.2">
      <c r="A373" s="153" t="s">
        <v>89</v>
      </c>
      <c r="B373" s="49">
        <v>206.982</v>
      </c>
      <c r="C373" s="49">
        <v>78.941000000000003</v>
      </c>
      <c r="D373" s="49">
        <v>71.837999999999994</v>
      </c>
      <c r="E373" s="49">
        <v>65.275999999999996</v>
      </c>
      <c r="F373" s="49">
        <v>33.863</v>
      </c>
      <c r="G373" s="49">
        <v>88.465999999999994</v>
      </c>
      <c r="H373" s="49">
        <v>10.234</v>
      </c>
      <c r="I373" s="49">
        <v>555.6</v>
      </c>
      <c r="J373" s="49">
        <v>7.4039999999999999</v>
      </c>
      <c r="K373" s="49">
        <v>195.899</v>
      </c>
      <c r="L373" s="49">
        <v>102.145</v>
      </c>
      <c r="M373" s="49">
        <v>24.930999999999997</v>
      </c>
      <c r="N373" s="49">
        <v>330.37899999999996</v>
      </c>
      <c r="O373" s="49">
        <v>885.97900000000004</v>
      </c>
      <c r="P373" s="99"/>
      <c r="Q373" s="99"/>
      <c r="R373" s="99"/>
      <c r="S373" s="99"/>
      <c r="T373" s="99"/>
    </row>
    <row r="374" spans="1:20" x14ac:dyDescent="0.2">
      <c r="A374" s="153" t="s">
        <v>127</v>
      </c>
      <c r="B374" s="49">
        <v>631.48500000000001</v>
      </c>
      <c r="C374" s="49">
        <v>254.07300000000001</v>
      </c>
      <c r="D374" s="49">
        <f>SUM(D371:D373)</f>
        <v>214.86799999999999</v>
      </c>
      <c r="E374" s="49">
        <f t="shared" ref="E374" si="41">SUM(E371:E373)</f>
        <v>198.31099999999998</v>
      </c>
      <c r="F374" s="49">
        <f t="shared" ref="F374" si="42">SUM(F371:F373)</f>
        <v>97.290999999999997</v>
      </c>
      <c r="G374" s="49">
        <f t="shared" ref="G374" si="43">SUM(G371:G373)</f>
        <v>258.01</v>
      </c>
      <c r="H374" s="49">
        <f t="shared" ref="H374" si="44">SUM(H371:H373)</f>
        <v>31.161999999999999</v>
      </c>
      <c r="I374" s="49">
        <f t="shared" ref="I374" si="45">SUM(I371:I373)</f>
        <v>1685.1999999999998</v>
      </c>
      <c r="J374" s="49">
        <f t="shared" ref="J374" si="46">SUM(J371:J373)</f>
        <v>23.126999999999999</v>
      </c>
      <c r="K374" s="49">
        <f t="shared" ref="K374" si="47">SUM(K371:K373)</f>
        <v>585.41499999999996</v>
      </c>
      <c r="L374" s="49">
        <f t="shared" ref="L374" si="48">SUM(L371:L373)</f>
        <v>281.89</v>
      </c>
      <c r="M374" s="49">
        <f t="shared" ref="M374" si="49">SUM(M371:M373)</f>
        <v>81.540999999999997</v>
      </c>
      <c r="N374" s="49">
        <f t="shared" ref="N374" si="50">SUM(N371:N373)</f>
        <v>971.97299999999996</v>
      </c>
      <c r="O374" s="49">
        <f>I374+N374</f>
        <v>2657.1729999999998</v>
      </c>
      <c r="P374" s="99"/>
      <c r="Q374" s="99"/>
      <c r="R374" s="99"/>
      <c r="S374" s="99"/>
      <c r="T374" s="99"/>
    </row>
    <row r="375" spans="1:20" x14ac:dyDescent="0.2">
      <c r="A375" s="153" t="s">
        <v>90</v>
      </c>
      <c r="B375" s="98">
        <v>199.286</v>
      </c>
      <c r="C375" s="98">
        <v>84.004999999999995</v>
      </c>
      <c r="D375" s="98">
        <v>66.573999999999998</v>
      </c>
      <c r="E375" s="98">
        <v>70.739999999999995</v>
      </c>
      <c r="F375" s="98">
        <v>33.521000000000001</v>
      </c>
      <c r="G375" s="98">
        <v>83.076999999999998</v>
      </c>
      <c r="H375" s="98">
        <v>10.624000000000001</v>
      </c>
      <c r="I375" s="98">
        <v>547.827</v>
      </c>
      <c r="J375" s="98">
        <v>7.5990000000000002</v>
      </c>
      <c r="K375" s="98">
        <v>198.786</v>
      </c>
      <c r="L375" s="98">
        <v>99.075999999999993</v>
      </c>
      <c r="M375" s="98">
        <v>25.244</v>
      </c>
      <c r="N375" s="98">
        <v>330.70499999999998</v>
      </c>
      <c r="O375" s="98">
        <v>878.53200000000004</v>
      </c>
      <c r="P375" s="99"/>
    </row>
    <row r="376" spans="1:20" x14ac:dyDescent="0.2">
      <c r="A376" s="153" t="s">
        <v>81</v>
      </c>
      <c r="B376" s="98">
        <v>215.53700000000001</v>
      </c>
      <c r="C376" s="98">
        <v>90.504000000000005</v>
      </c>
      <c r="D376" s="98">
        <v>74.106999999999999</v>
      </c>
      <c r="E376" s="98">
        <v>68.567999999999998</v>
      </c>
      <c r="F376" s="98">
        <v>36.337000000000003</v>
      </c>
      <c r="G376" s="98">
        <v>75.725999999999999</v>
      </c>
      <c r="H376" s="98">
        <v>11.64</v>
      </c>
      <c r="I376" s="98">
        <v>572.41899999999998</v>
      </c>
      <c r="J376" s="98">
        <v>8.968</v>
      </c>
      <c r="K376" s="98">
        <v>215.83099999999999</v>
      </c>
      <c r="L376" s="98">
        <v>126.214</v>
      </c>
      <c r="M376" s="98">
        <v>40.442</v>
      </c>
      <c r="N376" s="98">
        <v>391.45499999999998</v>
      </c>
      <c r="O376" s="98">
        <v>963.87400000000002</v>
      </c>
      <c r="P376" s="99"/>
    </row>
    <row r="377" spans="1:20" x14ac:dyDescent="0.2">
      <c r="A377" s="153" t="s">
        <v>82</v>
      </c>
      <c r="B377" s="49">
        <v>203.90199999999999</v>
      </c>
      <c r="C377" s="49">
        <v>87.113</v>
      </c>
      <c r="D377" s="49">
        <v>67.096000000000004</v>
      </c>
      <c r="E377" s="49">
        <v>61.052999999999997</v>
      </c>
      <c r="F377" s="49">
        <v>34.521000000000001</v>
      </c>
      <c r="G377" s="49">
        <v>94.090999999999994</v>
      </c>
      <c r="H377" s="49">
        <v>10.374000000000001</v>
      </c>
      <c r="I377" s="49">
        <f>SUM(B377:H377)</f>
        <v>558.15</v>
      </c>
      <c r="J377" s="50">
        <v>7.5810000000000004</v>
      </c>
      <c r="K377" s="49">
        <v>180.58099999999999</v>
      </c>
      <c r="L377" s="49">
        <v>115.553</v>
      </c>
      <c r="M377" s="49">
        <f>1.277+20.077</f>
        <v>21.354000000000003</v>
      </c>
      <c r="N377" s="49">
        <f>SUM(J377:M377)</f>
        <v>325.06899999999996</v>
      </c>
      <c r="O377" s="49">
        <f t="shared" ref="O377:O382" si="51">I377+N377</f>
        <v>883.21899999999994</v>
      </c>
      <c r="P377" s="99"/>
    </row>
    <row r="378" spans="1:20" x14ac:dyDescent="0.2">
      <c r="A378" s="153" t="s">
        <v>128</v>
      </c>
      <c r="B378" s="49">
        <f>SUM(B375:B377)</f>
        <v>618.72499999999991</v>
      </c>
      <c r="C378" s="49">
        <f t="shared" ref="C378" si="52">SUM(C375:C377)</f>
        <v>261.62200000000001</v>
      </c>
      <c r="D378" s="49">
        <f>SUM(D375:D377)</f>
        <v>207.77699999999999</v>
      </c>
      <c r="E378" s="49">
        <f t="shared" ref="E378" si="53">SUM(E375:E377)</f>
        <v>200.36099999999999</v>
      </c>
      <c r="F378" s="49">
        <f t="shared" ref="F378" si="54">SUM(F375:F377)</f>
        <v>104.379</v>
      </c>
      <c r="G378" s="49">
        <f t="shared" ref="G378" si="55">SUM(G375:G377)</f>
        <v>252.89400000000001</v>
      </c>
      <c r="H378" s="49">
        <f t="shared" ref="H378" si="56">SUM(H375:H377)</f>
        <v>32.638000000000005</v>
      </c>
      <c r="I378" s="49">
        <f t="shared" ref="I378" si="57">SUM(I375:I377)</f>
        <v>1678.3960000000002</v>
      </c>
      <c r="J378" s="49">
        <f t="shared" ref="J378" si="58">SUM(J375:J377)</f>
        <v>24.148</v>
      </c>
      <c r="K378" s="49">
        <f t="shared" ref="K378" si="59">SUM(K375:K377)</f>
        <v>595.19799999999998</v>
      </c>
      <c r="L378" s="49">
        <f t="shared" ref="L378" si="60">SUM(L375:L377)</f>
        <v>340.84299999999996</v>
      </c>
      <c r="M378" s="49">
        <f t="shared" ref="M378" si="61">SUM(M375:M377)</f>
        <v>87.04</v>
      </c>
      <c r="N378" s="49">
        <f t="shared" ref="N378" si="62">SUM(N375:N377)</f>
        <v>1047.2289999999998</v>
      </c>
      <c r="O378" s="49">
        <f t="shared" si="51"/>
        <v>2725.625</v>
      </c>
      <c r="P378" s="99"/>
    </row>
    <row r="379" spans="1:20" s="21" customFormat="1" x14ac:dyDescent="0.2">
      <c r="A379" s="153" t="s">
        <v>135</v>
      </c>
      <c r="B379" s="49">
        <v>217.745</v>
      </c>
      <c r="C379" s="49">
        <v>115.039</v>
      </c>
      <c r="D379" s="49">
        <v>71.393000000000001</v>
      </c>
      <c r="E379" s="49">
        <v>61.704000000000001</v>
      </c>
      <c r="F379" s="49">
        <v>40.898000000000003</v>
      </c>
      <c r="G379" s="49">
        <v>105.694</v>
      </c>
      <c r="H379" s="49">
        <v>12.183999999999999</v>
      </c>
      <c r="I379" s="50">
        <f>SUM(B379:H379)</f>
        <v>624.65700000000004</v>
      </c>
      <c r="J379" s="50">
        <v>49.634</v>
      </c>
      <c r="K379" s="49">
        <v>184.304</v>
      </c>
      <c r="L379" s="49">
        <v>128.583</v>
      </c>
      <c r="M379" s="49">
        <v>22.102</v>
      </c>
      <c r="N379" s="49">
        <f>SUM(J379:M379)</f>
        <v>384.62299999999993</v>
      </c>
      <c r="O379" s="49">
        <f t="shared" si="51"/>
        <v>1009.28</v>
      </c>
      <c r="P379" s="89"/>
    </row>
    <row r="380" spans="1:20" x14ac:dyDescent="0.2">
      <c r="A380" s="153" t="s">
        <v>148</v>
      </c>
      <c r="B380" s="49">
        <v>207.20500000000001</v>
      </c>
      <c r="C380" s="49">
        <v>85.158000000000001</v>
      </c>
      <c r="D380" s="49">
        <v>66.753</v>
      </c>
      <c r="E380" s="49">
        <v>56.829000000000001</v>
      </c>
      <c r="F380" s="49">
        <v>33.591999999999999</v>
      </c>
      <c r="G380" s="49">
        <v>105.77200000000001</v>
      </c>
      <c r="H380" s="49">
        <v>9.3469999999999995</v>
      </c>
      <c r="I380" s="50">
        <f>SUM(B380:H380)</f>
        <v>564.65599999999995</v>
      </c>
      <c r="J380" s="50">
        <v>7.62</v>
      </c>
      <c r="K380" s="49">
        <v>187.446</v>
      </c>
      <c r="L380" s="49">
        <v>125.205</v>
      </c>
      <c r="M380" s="49">
        <v>22.227999999999998</v>
      </c>
      <c r="N380" s="49">
        <f>SUM(J380:M380)</f>
        <v>342.49900000000002</v>
      </c>
      <c r="O380" s="49">
        <f t="shared" si="51"/>
        <v>907.15499999999997</v>
      </c>
      <c r="P380" s="99"/>
    </row>
    <row r="381" spans="1:20" x14ac:dyDescent="0.2">
      <c r="A381" s="153" t="s">
        <v>87</v>
      </c>
      <c r="B381" s="49">
        <v>186.80699999999999</v>
      </c>
      <c r="C381" s="49">
        <v>84.706999999999994</v>
      </c>
      <c r="D381" s="49">
        <v>62.817999999999998</v>
      </c>
      <c r="E381" s="49">
        <v>52.555999999999997</v>
      </c>
      <c r="F381" s="49">
        <v>29.821000000000002</v>
      </c>
      <c r="G381" s="49">
        <v>71.891000000000005</v>
      </c>
      <c r="H381" s="49">
        <v>8.3819999999999997</v>
      </c>
      <c r="I381" s="50">
        <f>SUM(B381:H381)</f>
        <v>496.98200000000003</v>
      </c>
      <c r="J381" s="50">
        <v>7.13</v>
      </c>
      <c r="K381" s="49">
        <v>179.727</v>
      </c>
      <c r="L381" s="49">
        <v>89.884</v>
      </c>
      <c r="M381" s="49">
        <v>20.969000000000001</v>
      </c>
      <c r="N381" s="49">
        <f>SUM(J381:M381)</f>
        <v>297.70999999999998</v>
      </c>
      <c r="O381" s="49">
        <f>I381+N381</f>
        <v>794.69200000000001</v>
      </c>
      <c r="P381" s="99"/>
    </row>
    <row r="382" spans="1:20" x14ac:dyDescent="0.2">
      <c r="A382" s="153" t="s">
        <v>129</v>
      </c>
      <c r="B382" s="49">
        <f>SUM(B379:B381)</f>
        <v>611.75700000000006</v>
      </c>
      <c r="C382" s="49">
        <f t="shared" ref="C382" si="63">SUM(C379:C381)</f>
        <v>284.904</v>
      </c>
      <c r="D382" s="49">
        <f>SUM(D379:D381)</f>
        <v>200.964</v>
      </c>
      <c r="E382" s="49">
        <f t="shared" ref="E382" si="64">SUM(E379:E381)</f>
        <v>171.089</v>
      </c>
      <c r="F382" s="49">
        <f t="shared" ref="F382" si="65">SUM(F379:F381)</f>
        <v>104.31100000000001</v>
      </c>
      <c r="G382" s="49">
        <f t="shared" ref="G382" si="66">SUM(G379:G381)</f>
        <v>283.35700000000003</v>
      </c>
      <c r="H382" s="49">
        <f t="shared" ref="H382" si="67">SUM(H379:H381)</f>
        <v>29.912999999999997</v>
      </c>
      <c r="I382" s="49">
        <f t="shared" ref="I382" si="68">SUM(I379:I381)</f>
        <v>1686.2950000000001</v>
      </c>
      <c r="J382" s="49">
        <f t="shared" ref="J382" si="69">SUM(J379:J381)</f>
        <v>64.384</v>
      </c>
      <c r="K382" s="49">
        <f t="shared" ref="K382" si="70">SUM(K379:K381)</f>
        <v>551.47699999999998</v>
      </c>
      <c r="L382" s="49">
        <f t="shared" ref="L382" si="71">SUM(L379:L381)</f>
        <v>343.67200000000003</v>
      </c>
      <c r="M382" s="49">
        <f t="shared" ref="M382" si="72">SUM(M379:M381)</f>
        <v>65.299000000000007</v>
      </c>
      <c r="N382" s="49">
        <f t="shared" ref="N382" si="73">SUM(N379:N381)</f>
        <v>1024.8319999999999</v>
      </c>
      <c r="O382" s="49">
        <f t="shared" si="51"/>
        <v>2711.127</v>
      </c>
      <c r="P382" s="99"/>
    </row>
    <row r="383" spans="1:20" x14ac:dyDescent="0.2">
      <c r="A383" s="86"/>
      <c r="P383" s="99"/>
    </row>
    <row r="384" spans="1:20" x14ac:dyDescent="0.2">
      <c r="A384" s="76">
        <v>2022</v>
      </c>
      <c r="P384" s="99"/>
    </row>
    <row r="385" spans="1:20" x14ac:dyDescent="0.2">
      <c r="A385" s="76" t="s">
        <v>74</v>
      </c>
      <c r="B385" s="49">
        <v>213.86699999999999</v>
      </c>
      <c r="C385" s="49">
        <v>95.968999999999994</v>
      </c>
      <c r="D385" s="49">
        <v>64.38</v>
      </c>
      <c r="E385" s="49">
        <v>63.389000000000003</v>
      </c>
      <c r="F385" s="49">
        <v>32.667999999999999</v>
      </c>
      <c r="G385" s="49">
        <v>76.388999999999996</v>
      </c>
      <c r="H385" s="49">
        <v>9.3279999999999994</v>
      </c>
      <c r="I385" s="49">
        <f t="shared" ref="I385:I391" si="74">SUM(B385:H385)</f>
        <v>555.99</v>
      </c>
      <c r="J385" s="49">
        <v>7.6050000000000004</v>
      </c>
      <c r="K385" s="49">
        <v>196.578</v>
      </c>
      <c r="L385" s="49">
        <v>84.263000000000005</v>
      </c>
      <c r="M385" s="49">
        <v>23.798999999999999</v>
      </c>
      <c r="N385" s="49">
        <f t="shared" ref="N385:N390" si="75">SUM(J385:M385)</f>
        <v>312.245</v>
      </c>
      <c r="O385" s="49">
        <f t="shared" ref="O385:O390" si="76">I385+N385</f>
        <v>868.23500000000001</v>
      </c>
      <c r="P385" s="99"/>
    </row>
    <row r="386" spans="1:20" x14ac:dyDescent="0.2">
      <c r="A386" s="76" t="s">
        <v>140</v>
      </c>
      <c r="B386" s="49">
        <v>200.71199999999999</v>
      </c>
      <c r="C386" s="49">
        <v>94.393000000000001</v>
      </c>
      <c r="D386" s="49">
        <v>59.94</v>
      </c>
      <c r="E386" s="49">
        <v>56.874000000000002</v>
      </c>
      <c r="F386" s="49">
        <v>29.797999999999998</v>
      </c>
      <c r="G386" s="49">
        <v>77.260999999999996</v>
      </c>
      <c r="H386" s="49">
        <v>7.6680000000000001</v>
      </c>
      <c r="I386" s="49">
        <f t="shared" si="74"/>
        <v>526.64600000000007</v>
      </c>
      <c r="J386" s="49">
        <v>6.7569999999999997</v>
      </c>
      <c r="K386" s="49">
        <v>180.345</v>
      </c>
      <c r="L386" s="49">
        <v>84.4</v>
      </c>
      <c r="M386" s="49">
        <v>25.466999999999999</v>
      </c>
      <c r="N386" s="49">
        <f t="shared" si="75"/>
        <v>296.96899999999999</v>
      </c>
      <c r="O386" s="49">
        <f t="shared" si="76"/>
        <v>823.61500000000001</v>
      </c>
      <c r="P386" s="99"/>
    </row>
    <row r="387" spans="1:20" x14ac:dyDescent="0.2">
      <c r="A387" s="76" t="s">
        <v>76</v>
      </c>
      <c r="B387" s="49">
        <v>237.327</v>
      </c>
      <c r="C387" s="49">
        <v>106.29600000000001</v>
      </c>
      <c r="D387" s="49">
        <v>70.16</v>
      </c>
      <c r="E387" s="49">
        <v>71.888999999999996</v>
      </c>
      <c r="F387" s="49">
        <v>33.963999999999999</v>
      </c>
      <c r="G387" s="49">
        <v>90.748000000000005</v>
      </c>
      <c r="H387" s="49">
        <v>10.19</v>
      </c>
      <c r="I387" s="49">
        <f t="shared" si="74"/>
        <v>620.57400000000007</v>
      </c>
      <c r="J387" s="49">
        <v>8.1059999999999999</v>
      </c>
      <c r="K387" s="49">
        <v>227.035</v>
      </c>
      <c r="L387" s="49">
        <v>105.10599999999999</v>
      </c>
      <c r="M387" s="49">
        <v>30.565000000000001</v>
      </c>
      <c r="N387" s="49">
        <f t="shared" si="75"/>
        <v>370.81199999999995</v>
      </c>
      <c r="O387" s="49">
        <f t="shared" si="76"/>
        <v>991.38599999999997</v>
      </c>
      <c r="P387" s="99"/>
    </row>
    <row r="388" spans="1:20" x14ac:dyDescent="0.2">
      <c r="A388" s="86" t="s">
        <v>126</v>
      </c>
      <c r="B388" s="49">
        <f>SUM(B385:B387)</f>
        <v>651.90599999999995</v>
      </c>
      <c r="C388" s="49">
        <f t="shared" ref="C388:H388" si="77">SUM(C385:C387)</f>
        <v>296.65800000000002</v>
      </c>
      <c r="D388" s="49">
        <f t="shared" si="77"/>
        <v>194.48</v>
      </c>
      <c r="E388" s="49">
        <f t="shared" si="77"/>
        <v>192.15199999999999</v>
      </c>
      <c r="F388" s="49">
        <f t="shared" si="77"/>
        <v>96.429999999999993</v>
      </c>
      <c r="G388" s="49">
        <f t="shared" si="77"/>
        <v>244.39799999999997</v>
      </c>
      <c r="H388" s="49">
        <f t="shared" si="77"/>
        <v>27.186</v>
      </c>
      <c r="I388" s="49">
        <f t="shared" si="74"/>
        <v>1703.2099999999998</v>
      </c>
      <c r="J388" s="49">
        <f t="shared" ref="J388:M388" si="78">SUM(J385:J387)</f>
        <v>22.468</v>
      </c>
      <c r="K388" s="49">
        <f t="shared" si="78"/>
        <v>603.95799999999997</v>
      </c>
      <c r="L388" s="49">
        <f t="shared" si="78"/>
        <v>273.76900000000001</v>
      </c>
      <c r="M388" s="49">
        <f t="shared" si="78"/>
        <v>79.831000000000003</v>
      </c>
      <c r="N388" s="49">
        <f t="shared" si="75"/>
        <v>980.02599999999995</v>
      </c>
      <c r="O388" s="49">
        <f t="shared" si="76"/>
        <v>2683.2359999999999</v>
      </c>
      <c r="P388" s="99"/>
      <c r="Q388" s="99"/>
      <c r="R388" s="99"/>
      <c r="S388" s="99"/>
      <c r="T388" s="99"/>
    </row>
    <row r="389" spans="1:20" x14ac:dyDescent="0.2">
      <c r="A389" s="76" t="s">
        <v>78</v>
      </c>
      <c r="B389" s="49">
        <v>220.86500000000001</v>
      </c>
      <c r="C389" s="49">
        <v>102.643</v>
      </c>
      <c r="D389" s="49">
        <v>68.691000000000003</v>
      </c>
      <c r="E389" s="49">
        <v>73.396000000000001</v>
      </c>
      <c r="F389" s="49">
        <v>31.869</v>
      </c>
      <c r="G389" s="49">
        <v>75.572999999999993</v>
      </c>
      <c r="H389" s="49">
        <v>9.0340000000000007</v>
      </c>
      <c r="I389" s="49">
        <f t="shared" si="74"/>
        <v>582.07100000000003</v>
      </c>
      <c r="J389" s="49">
        <v>7.7249999999999996</v>
      </c>
      <c r="K389" s="49">
        <v>198.03800000000001</v>
      </c>
      <c r="L389" s="49">
        <v>94.561999999999998</v>
      </c>
      <c r="M389" s="49">
        <v>20.140999999999998</v>
      </c>
      <c r="N389" s="49">
        <f t="shared" si="75"/>
        <v>320.46600000000001</v>
      </c>
      <c r="O389" s="49">
        <f t="shared" si="76"/>
        <v>902.53700000000003</v>
      </c>
      <c r="P389" s="99"/>
    </row>
    <row r="390" spans="1:20" x14ac:dyDescent="0.2">
      <c r="A390" s="153" t="s">
        <v>79</v>
      </c>
      <c r="B390" s="49">
        <v>226.88499999999999</v>
      </c>
      <c r="C390" s="49">
        <v>105.761</v>
      </c>
      <c r="D390" s="49">
        <v>74.271000000000001</v>
      </c>
      <c r="E390" s="49">
        <v>70.013999999999996</v>
      </c>
      <c r="F390" s="49">
        <v>36.067999999999998</v>
      </c>
      <c r="G390" s="49">
        <v>85.052999999999997</v>
      </c>
      <c r="H390" s="49">
        <v>10.484999999999999</v>
      </c>
      <c r="I390" s="49">
        <f t="shared" si="74"/>
        <v>608.53700000000003</v>
      </c>
      <c r="J390" s="49">
        <v>8.4220000000000006</v>
      </c>
      <c r="K390" s="49">
        <v>221.95099999999999</v>
      </c>
      <c r="L390" s="49">
        <v>102.059</v>
      </c>
      <c r="M390" s="49">
        <v>22.010999999999999</v>
      </c>
      <c r="N390" s="49">
        <f t="shared" si="75"/>
        <v>354.44300000000004</v>
      </c>
      <c r="O390" s="49">
        <f t="shared" si="76"/>
        <v>962.98</v>
      </c>
      <c r="P390" s="99"/>
    </row>
    <row r="391" spans="1:20" x14ac:dyDescent="0.2">
      <c r="A391" s="153" t="s">
        <v>89</v>
      </c>
      <c r="B391" s="49">
        <v>218.33</v>
      </c>
      <c r="C391" s="49">
        <v>93.653000000000006</v>
      </c>
      <c r="D391" s="49">
        <v>72.337999999999994</v>
      </c>
      <c r="E391" s="49">
        <v>71.004000000000005</v>
      </c>
      <c r="F391" s="49">
        <v>32.048999999999999</v>
      </c>
      <c r="G391" s="49">
        <v>72.462999999999994</v>
      </c>
      <c r="H391" s="49">
        <v>10.153</v>
      </c>
      <c r="I391" s="49">
        <f t="shared" si="74"/>
        <v>569.99</v>
      </c>
      <c r="J391" s="49">
        <v>7.1020000000000003</v>
      </c>
      <c r="K391" s="49">
        <v>198.36500000000001</v>
      </c>
      <c r="L391" s="49">
        <v>105.30800000000001</v>
      </c>
      <c r="M391" s="49">
        <v>20.501000000000001</v>
      </c>
      <c r="N391" s="49">
        <f t="shared" ref="N391:N392" si="79">SUM(J391:M391)</f>
        <v>331.27600000000001</v>
      </c>
      <c r="O391" s="49">
        <f t="shared" ref="O391" si="80">I391+N391</f>
        <v>901.26600000000008</v>
      </c>
      <c r="P391" s="99"/>
    </row>
    <row r="392" spans="1:20" x14ac:dyDescent="0.2">
      <c r="A392" s="153" t="s">
        <v>127</v>
      </c>
      <c r="B392" s="49">
        <f>SUM(B389:B391)</f>
        <v>666.08</v>
      </c>
      <c r="C392" s="49">
        <f t="shared" ref="C392:H392" si="81">SUM(C389:C391)</f>
        <v>302.05700000000002</v>
      </c>
      <c r="D392" s="49">
        <f t="shared" si="81"/>
        <v>215.29999999999998</v>
      </c>
      <c r="E392" s="49">
        <f t="shared" si="81"/>
        <v>214.41399999999999</v>
      </c>
      <c r="F392" s="49">
        <f t="shared" si="81"/>
        <v>99.98599999999999</v>
      </c>
      <c r="G392" s="49">
        <f t="shared" si="81"/>
        <v>233.08899999999997</v>
      </c>
      <c r="H392" s="49">
        <f t="shared" si="81"/>
        <v>29.671999999999997</v>
      </c>
      <c r="I392" s="49">
        <f t="shared" ref="I392:I395" si="82">SUM(B392:H392)</f>
        <v>1760.598</v>
      </c>
      <c r="J392" s="49">
        <f t="shared" ref="J392:M392" si="83">SUM(J389:J391)</f>
        <v>23.248999999999999</v>
      </c>
      <c r="K392" s="49">
        <f t="shared" si="83"/>
        <v>618.35400000000004</v>
      </c>
      <c r="L392" s="49">
        <f t="shared" si="83"/>
        <v>301.92899999999997</v>
      </c>
      <c r="M392" s="49">
        <f t="shared" si="83"/>
        <v>62.653000000000006</v>
      </c>
      <c r="N392" s="49">
        <f t="shared" si="79"/>
        <v>1006.1850000000001</v>
      </c>
      <c r="O392" s="49">
        <f>I392+N392</f>
        <v>2766.7829999999999</v>
      </c>
      <c r="P392" s="99"/>
    </row>
    <row r="393" spans="1:20" x14ac:dyDescent="0.2">
      <c r="A393" s="153" t="s">
        <v>90</v>
      </c>
      <c r="B393" s="49">
        <v>220.31700000000001</v>
      </c>
      <c r="C393" s="49">
        <v>101.873</v>
      </c>
      <c r="D393" s="49">
        <v>71.92</v>
      </c>
      <c r="E393" s="49">
        <v>76.034000000000006</v>
      </c>
      <c r="F393" s="49">
        <v>31.236000000000001</v>
      </c>
      <c r="G393" s="49">
        <v>78.768000000000001</v>
      </c>
      <c r="H393" s="49">
        <v>12.105</v>
      </c>
      <c r="I393" s="49">
        <f t="shared" si="82"/>
        <v>592.25300000000004</v>
      </c>
      <c r="J393" s="49">
        <v>8.4629999999999992</v>
      </c>
      <c r="K393" s="49">
        <v>222.15899999999999</v>
      </c>
      <c r="L393" s="49">
        <v>110.764</v>
      </c>
      <c r="M393" s="49">
        <v>19.774999999999999</v>
      </c>
      <c r="N393" s="49">
        <f t="shared" ref="N393:N394" si="84">SUM(J393:M393)</f>
        <v>361.16099999999994</v>
      </c>
      <c r="O393" s="49">
        <f t="shared" ref="O393:O394" si="85">I393+N393</f>
        <v>953.41399999999999</v>
      </c>
      <c r="P393" s="99"/>
    </row>
    <row r="394" spans="1:20" x14ac:dyDescent="0.2">
      <c r="A394" s="153" t="s">
        <v>81</v>
      </c>
      <c r="B394" s="49">
        <v>226.726</v>
      </c>
      <c r="C394" s="49">
        <v>102.381</v>
      </c>
      <c r="D394" s="49">
        <v>74.471000000000004</v>
      </c>
      <c r="E394" s="49">
        <v>79.686999999999998</v>
      </c>
      <c r="F394" s="49">
        <v>30.347999999999999</v>
      </c>
      <c r="G394" s="49">
        <v>81.227000000000004</v>
      </c>
      <c r="H394" s="49">
        <v>10.61</v>
      </c>
      <c r="I394" s="49">
        <f t="shared" si="82"/>
        <v>605.44999999999993</v>
      </c>
      <c r="J394" s="49">
        <v>7.6710000000000003</v>
      </c>
      <c r="K394" s="49">
        <v>204.29300000000001</v>
      </c>
      <c r="L394" s="49">
        <v>117.92400000000001</v>
      </c>
      <c r="M394" s="49">
        <v>23.23</v>
      </c>
      <c r="N394" s="49">
        <f t="shared" si="84"/>
        <v>353.11800000000005</v>
      </c>
      <c r="O394" s="49">
        <f t="shared" si="85"/>
        <v>958.56799999999998</v>
      </c>
      <c r="P394" s="99"/>
    </row>
    <row r="395" spans="1:20" x14ac:dyDescent="0.2">
      <c r="A395" s="153" t="s">
        <v>82</v>
      </c>
      <c r="B395" s="49">
        <v>215.572</v>
      </c>
      <c r="C395" s="49">
        <v>93.084999999999994</v>
      </c>
      <c r="D395" s="49">
        <v>68.093999999999994</v>
      </c>
      <c r="E395" s="49">
        <v>69.965000000000003</v>
      </c>
      <c r="F395" s="49">
        <v>31.981000000000002</v>
      </c>
      <c r="G395" s="49">
        <v>80.376999999999995</v>
      </c>
      <c r="H395" s="49">
        <v>10.073</v>
      </c>
      <c r="I395" s="49">
        <f t="shared" si="82"/>
        <v>569.14699999999993</v>
      </c>
      <c r="J395" s="49">
        <v>7.4260000000000002</v>
      </c>
      <c r="K395" s="49">
        <v>198.03800000000001</v>
      </c>
      <c r="L395" s="49">
        <v>115.97799999999999</v>
      </c>
      <c r="M395" s="49">
        <v>23.186</v>
      </c>
      <c r="N395" s="49">
        <f t="shared" ref="N395:N396" si="86">SUM(J395:M395)</f>
        <v>344.62799999999999</v>
      </c>
      <c r="O395" s="49">
        <f t="shared" ref="O395" si="87">I395+N395</f>
        <v>913.77499999999986</v>
      </c>
      <c r="P395" s="99"/>
    </row>
    <row r="396" spans="1:20" x14ac:dyDescent="0.2">
      <c r="A396" s="153" t="s">
        <v>128</v>
      </c>
      <c r="B396" s="49">
        <f>SUM(B393:B395)</f>
        <v>662.61500000000001</v>
      </c>
      <c r="C396" s="49">
        <f t="shared" ref="C396:H396" si="88">SUM(C393:C395)</f>
        <v>297.339</v>
      </c>
      <c r="D396" s="49">
        <f t="shared" si="88"/>
        <v>214.48500000000001</v>
      </c>
      <c r="E396" s="49">
        <f t="shared" si="88"/>
        <v>225.68600000000001</v>
      </c>
      <c r="F396" s="49">
        <f t="shared" si="88"/>
        <v>93.564999999999998</v>
      </c>
      <c r="G396" s="49">
        <f t="shared" si="88"/>
        <v>240.37200000000001</v>
      </c>
      <c r="H396" s="49">
        <f t="shared" si="88"/>
        <v>32.787999999999997</v>
      </c>
      <c r="I396" s="49">
        <f t="shared" ref="I396:I417" si="89">SUM(B396:H396)</f>
        <v>1766.85</v>
      </c>
      <c r="J396" s="49">
        <f t="shared" ref="J396:M396" si="90">SUM(J393:J395)</f>
        <v>23.560000000000002</v>
      </c>
      <c r="K396" s="49">
        <f t="shared" si="90"/>
        <v>624.49</v>
      </c>
      <c r="L396" s="49">
        <f t="shared" si="90"/>
        <v>344.666</v>
      </c>
      <c r="M396" s="49">
        <f t="shared" si="90"/>
        <v>66.191000000000003</v>
      </c>
      <c r="N396" s="49">
        <f t="shared" si="86"/>
        <v>1058.9069999999999</v>
      </c>
      <c r="O396" s="49">
        <f t="shared" ref="O396:O403" si="91">I396+N396</f>
        <v>2825.7569999999996</v>
      </c>
      <c r="P396" s="99"/>
    </row>
    <row r="397" spans="1:20" x14ac:dyDescent="0.2">
      <c r="A397" s="153" t="s">
        <v>135</v>
      </c>
      <c r="B397" s="49">
        <v>228.435</v>
      </c>
      <c r="C397" s="49">
        <v>115.256</v>
      </c>
      <c r="D397" s="49">
        <v>76.22</v>
      </c>
      <c r="E397" s="49">
        <v>72.828999999999994</v>
      </c>
      <c r="F397" s="49">
        <v>41.817</v>
      </c>
      <c r="G397" s="49">
        <v>87.218999999999994</v>
      </c>
      <c r="H397" s="49">
        <v>11.076000000000001</v>
      </c>
      <c r="I397" s="49">
        <f t="shared" si="89"/>
        <v>632.85200000000009</v>
      </c>
      <c r="J397" s="49">
        <v>9.3279999999999994</v>
      </c>
      <c r="K397" s="49">
        <v>212.376</v>
      </c>
      <c r="L397" s="49">
        <v>142.077</v>
      </c>
      <c r="M397" s="49">
        <v>36.445999999999998</v>
      </c>
      <c r="N397" s="49">
        <f t="shared" ref="N397" si="92">SUM(J397:M397)</f>
        <v>400.22699999999998</v>
      </c>
      <c r="O397" s="49">
        <f t="shared" si="91"/>
        <v>1033.0790000000002</v>
      </c>
      <c r="P397" s="99"/>
    </row>
    <row r="398" spans="1:20" x14ac:dyDescent="0.2">
      <c r="A398" s="153" t="s">
        <v>148</v>
      </c>
      <c r="B398" s="49">
        <v>201.85900000000001</v>
      </c>
      <c r="C398" s="49">
        <v>94.192999999999998</v>
      </c>
      <c r="D398" s="49">
        <v>68.611999999999995</v>
      </c>
      <c r="E398" s="49">
        <v>66.031000000000006</v>
      </c>
      <c r="F398" s="49">
        <v>33.201000000000001</v>
      </c>
      <c r="G398" s="49">
        <v>80.751999999999995</v>
      </c>
      <c r="H398" s="49">
        <v>9.5500000000000007</v>
      </c>
      <c r="I398" s="49">
        <f t="shared" si="89"/>
        <v>554.19799999999998</v>
      </c>
      <c r="J398" s="49">
        <v>7.6849999999999996</v>
      </c>
      <c r="K398" s="49">
        <v>190.08699999999999</v>
      </c>
      <c r="L398" s="49">
        <v>118.682</v>
      </c>
      <c r="M398" s="49">
        <v>33.802</v>
      </c>
      <c r="N398" s="49">
        <f t="shared" ref="N398" si="93">SUM(J398:M398)</f>
        <v>350.25600000000003</v>
      </c>
      <c r="O398" s="49">
        <f t="shared" si="91"/>
        <v>904.45399999999995</v>
      </c>
      <c r="P398" s="99"/>
    </row>
    <row r="399" spans="1:20" x14ac:dyDescent="0.2">
      <c r="A399" s="153" t="s">
        <v>87</v>
      </c>
      <c r="B399" s="49">
        <v>180.90600000000001</v>
      </c>
      <c r="C399" s="49">
        <v>83.188999999999993</v>
      </c>
      <c r="D399" s="49">
        <v>66.305000000000007</v>
      </c>
      <c r="E399" s="49">
        <v>65.808999999999997</v>
      </c>
      <c r="F399" s="49">
        <v>29.448</v>
      </c>
      <c r="G399" s="49">
        <v>76.697000000000003</v>
      </c>
      <c r="H399" s="49">
        <v>8.8089999999999993</v>
      </c>
      <c r="I399" s="49">
        <f t="shared" si="89"/>
        <v>511.16300000000007</v>
      </c>
      <c r="J399" s="49">
        <v>7.4509999999999996</v>
      </c>
      <c r="K399" s="49">
        <v>184.72900000000001</v>
      </c>
      <c r="L399" s="49">
        <v>101.764</v>
      </c>
      <c r="M399" s="49">
        <v>30.262</v>
      </c>
      <c r="N399" s="49">
        <f t="shared" ref="N399:N400" si="94">SUM(J399:M399)</f>
        <v>324.20600000000002</v>
      </c>
      <c r="O399" s="49">
        <f t="shared" si="91"/>
        <v>835.36900000000014</v>
      </c>
      <c r="P399" s="99"/>
    </row>
    <row r="400" spans="1:20" x14ac:dyDescent="0.2">
      <c r="A400" s="153" t="s">
        <v>129</v>
      </c>
      <c r="B400" s="49">
        <f t="shared" ref="B400:H400" si="95">SUM(B397:B399)</f>
        <v>611.20000000000005</v>
      </c>
      <c r="C400" s="49">
        <f t="shared" si="95"/>
        <v>292.63800000000003</v>
      </c>
      <c r="D400" s="49">
        <f t="shared" si="95"/>
        <v>211.137</v>
      </c>
      <c r="E400" s="49">
        <f t="shared" si="95"/>
        <v>204.66900000000001</v>
      </c>
      <c r="F400" s="49">
        <f t="shared" si="95"/>
        <v>104.46600000000001</v>
      </c>
      <c r="G400" s="49">
        <f t="shared" si="95"/>
        <v>244.66800000000001</v>
      </c>
      <c r="H400" s="49">
        <f t="shared" si="95"/>
        <v>29.435000000000002</v>
      </c>
      <c r="I400" s="49">
        <f t="shared" ref="I400" si="96">SUM(B400:H400)</f>
        <v>1698.2130000000002</v>
      </c>
      <c r="J400" s="49">
        <f>SUM(J397:J399)</f>
        <v>24.463999999999999</v>
      </c>
      <c r="K400" s="49">
        <f>SUM(K397:K399)</f>
        <v>587.19200000000001</v>
      </c>
      <c r="L400" s="49">
        <f>SUM(L397:L399)</f>
        <v>362.52300000000002</v>
      </c>
      <c r="M400" s="49">
        <f>SUM(M397:M399)</f>
        <v>100.50999999999999</v>
      </c>
      <c r="N400" s="49">
        <f t="shared" si="94"/>
        <v>1074.6889999999999</v>
      </c>
      <c r="O400" s="49">
        <f t="shared" si="91"/>
        <v>2772.902</v>
      </c>
      <c r="P400" s="99"/>
    </row>
    <row r="401" spans="1:20" x14ac:dyDescent="0.2">
      <c r="A401" s="76"/>
      <c r="P401" s="99"/>
    </row>
    <row r="402" spans="1:20" x14ac:dyDescent="0.2">
      <c r="A402" s="76">
        <v>2023</v>
      </c>
      <c r="P402" s="99"/>
    </row>
    <row r="403" spans="1:20" x14ac:dyDescent="0.2">
      <c r="A403" s="76" t="s">
        <v>74</v>
      </c>
      <c r="B403" s="49">
        <v>210.2</v>
      </c>
      <c r="C403" s="49">
        <v>97.32</v>
      </c>
      <c r="D403" s="49">
        <v>70.552999999999997</v>
      </c>
      <c r="E403" s="49">
        <v>69.846999999999994</v>
      </c>
      <c r="F403" s="49">
        <v>30.995999999999999</v>
      </c>
      <c r="G403" s="49">
        <v>79.796999999999997</v>
      </c>
      <c r="H403" s="49">
        <v>8.0649999999999995</v>
      </c>
      <c r="I403" s="49">
        <f t="shared" si="89"/>
        <v>566.77800000000002</v>
      </c>
      <c r="J403" s="49">
        <v>7.0309999999999997</v>
      </c>
      <c r="K403" s="49">
        <v>169.09100000000001</v>
      </c>
      <c r="L403" s="49">
        <v>97.739000000000004</v>
      </c>
      <c r="M403" s="49">
        <v>29.541</v>
      </c>
      <c r="N403" s="49">
        <f t="shared" ref="N403" si="97">SUM(J403:M403)</f>
        <v>303.40199999999999</v>
      </c>
      <c r="O403" s="49">
        <f t="shared" si="91"/>
        <v>870.18000000000006</v>
      </c>
      <c r="P403" s="99"/>
    </row>
    <row r="404" spans="1:20" x14ac:dyDescent="0.2">
      <c r="A404" s="76" t="s">
        <v>140</v>
      </c>
      <c r="B404" s="49">
        <v>194.15600000000001</v>
      </c>
      <c r="C404" s="49">
        <v>97.275999999999996</v>
      </c>
      <c r="D404" s="49">
        <v>65.173000000000002</v>
      </c>
      <c r="E404" s="49">
        <v>63.954000000000001</v>
      </c>
      <c r="F404" s="49">
        <v>28.614000000000001</v>
      </c>
      <c r="G404" s="49">
        <v>82.894000000000005</v>
      </c>
      <c r="H404" s="49">
        <v>7.7430000000000003</v>
      </c>
      <c r="I404" s="49">
        <f t="shared" si="89"/>
        <v>539.81000000000006</v>
      </c>
      <c r="J404" s="49">
        <v>6.5510000000000002</v>
      </c>
      <c r="K404" s="49">
        <v>163.768</v>
      </c>
      <c r="L404" s="49">
        <v>92.122</v>
      </c>
      <c r="M404" s="49">
        <v>33.154000000000003</v>
      </c>
      <c r="N404" s="49">
        <f t="shared" ref="N404" si="98">SUM(J404:M404)</f>
        <v>295.59499999999997</v>
      </c>
      <c r="O404" s="49">
        <f t="shared" ref="O404" si="99">I404+N404</f>
        <v>835.40499999999997</v>
      </c>
      <c r="P404" s="99"/>
    </row>
    <row r="405" spans="1:20" x14ac:dyDescent="0.2">
      <c r="A405" s="76" t="s">
        <v>76</v>
      </c>
      <c r="B405" s="49">
        <v>215.64</v>
      </c>
      <c r="C405" s="49">
        <v>104.149</v>
      </c>
      <c r="D405" s="49">
        <v>75.236999999999995</v>
      </c>
      <c r="E405" s="49">
        <v>73.503</v>
      </c>
      <c r="F405" s="49">
        <v>31.33</v>
      </c>
      <c r="G405" s="49">
        <v>96.022000000000006</v>
      </c>
      <c r="H405" s="49">
        <v>9.2110000000000003</v>
      </c>
      <c r="I405" s="49">
        <f t="shared" si="89"/>
        <v>605.09199999999998</v>
      </c>
      <c r="J405" s="49">
        <v>7.0170000000000003</v>
      </c>
      <c r="K405" s="49">
        <v>203.49700000000001</v>
      </c>
      <c r="L405" s="49">
        <v>102.876</v>
      </c>
      <c r="M405" s="49">
        <v>23.806000000000001</v>
      </c>
      <c r="N405" s="49">
        <f t="shared" ref="N405:N407" si="100">SUM(J405:M405)</f>
        <v>337.19599999999997</v>
      </c>
      <c r="O405" s="49">
        <f t="shared" ref="O405:O407" si="101">I405+N405</f>
        <v>942.28800000000001</v>
      </c>
      <c r="P405" s="99"/>
    </row>
    <row r="406" spans="1:20" x14ac:dyDescent="0.2">
      <c r="A406" s="86" t="s">
        <v>126</v>
      </c>
      <c r="B406" s="49">
        <f>SUM(B403:B405)</f>
        <v>619.99599999999998</v>
      </c>
      <c r="C406" s="49">
        <f t="shared" ref="C406:H406" si="102">SUM(C403:C405)</f>
        <v>298.745</v>
      </c>
      <c r="D406" s="49">
        <f t="shared" si="102"/>
        <v>210.96299999999999</v>
      </c>
      <c r="E406" s="49">
        <f t="shared" si="102"/>
        <v>207.30399999999997</v>
      </c>
      <c r="F406" s="49">
        <f t="shared" si="102"/>
        <v>90.94</v>
      </c>
      <c r="G406" s="49">
        <f t="shared" si="102"/>
        <v>258.71300000000002</v>
      </c>
      <c r="H406" s="49">
        <f t="shared" si="102"/>
        <v>25.018999999999998</v>
      </c>
      <c r="I406" s="49">
        <f t="shared" si="89"/>
        <v>1711.6799999999998</v>
      </c>
      <c r="J406" s="49">
        <f t="shared" ref="J406:M406" si="103">SUM(J403:J405)</f>
        <v>20.599</v>
      </c>
      <c r="K406" s="49">
        <f t="shared" si="103"/>
        <v>536.35599999999999</v>
      </c>
      <c r="L406" s="49">
        <f t="shared" si="103"/>
        <v>292.73699999999997</v>
      </c>
      <c r="M406" s="49">
        <f t="shared" si="103"/>
        <v>86.501000000000005</v>
      </c>
      <c r="N406" s="49">
        <f t="shared" si="100"/>
        <v>936.19299999999998</v>
      </c>
      <c r="O406" s="49">
        <f t="shared" si="101"/>
        <v>2647.8729999999996</v>
      </c>
      <c r="P406" s="99"/>
      <c r="Q406" s="99"/>
      <c r="R406" s="99"/>
      <c r="S406" s="99"/>
      <c r="T406" s="99"/>
    </row>
    <row r="407" spans="1:20" x14ac:dyDescent="0.2">
      <c r="A407" s="76" t="s">
        <v>78</v>
      </c>
      <c r="B407" s="49">
        <v>194.72399999999999</v>
      </c>
      <c r="C407" s="49">
        <v>95.707999999999998</v>
      </c>
      <c r="D407" s="49">
        <v>74.296000000000006</v>
      </c>
      <c r="E407" s="49">
        <v>54.704000000000001</v>
      </c>
      <c r="F407" s="49">
        <v>28.931000000000001</v>
      </c>
      <c r="G407" s="49">
        <v>79.671999999999997</v>
      </c>
      <c r="H407" s="49">
        <v>9.4239999999999995</v>
      </c>
      <c r="I407" s="49">
        <f t="shared" si="89"/>
        <v>537.45899999999995</v>
      </c>
      <c r="J407" s="49">
        <v>8.3640000000000008</v>
      </c>
      <c r="K407" s="49">
        <v>179.74600000000001</v>
      </c>
      <c r="L407" s="49">
        <v>106.15300000000001</v>
      </c>
      <c r="M407" s="49">
        <v>27.870999999999999</v>
      </c>
      <c r="N407" s="49">
        <f t="shared" si="100"/>
        <v>322.13400000000001</v>
      </c>
      <c r="O407" s="49">
        <f t="shared" si="101"/>
        <v>859.59299999999996</v>
      </c>
      <c r="P407" s="99"/>
      <c r="Q407" s="99"/>
      <c r="R407" s="99"/>
      <c r="S407" s="99"/>
      <c r="T407" s="99"/>
    </row>
    <row r="408" spans="1:20" x14ac:dyDescent="0.2">
      <c r="A408" s="153" t="s">
        <v>79</v>
      </c>
      <c r="B408" s="49">
        <v>209.68</v>
      </c>
      <c r="C408" s="49">
        <v>99.061000000000007</v>
      </c>
      <c r="D408" s="49">
        <v>72.123999999999995</v>
      </c>
      <c r="E408" s="49">
        <v>69.680999999999997</v>
      </c>
      <c r="F408" s="49">
        <v>28.640999999999998</v>
      </c>
      <c r="G408" s="49">
        <v>82.254000000000005</v>
      </c>
      <c r="H408" s="49">
        <v>8.32</v>
      </c>
      <c r="I408" s="49">
        <f t="shared" si="89"/>
        <v>569.76100000000008</v>
      </c>
      <c r="J408" s="49">
        <v>7.3730000000000002</v>
      </c>
      <c r="K408" s="49">
        <v>195.37200000000001</v>
      </c>
      <c r="L408" s="49">
        <v>100.68899999999999</v>
      </c>
      <c r="M408" s="49">
        <v>33.066000000000003</v>
      </c>
      <c r="N408" s="49">
        <f t="shared" ref="N408:N409" si="104">SUM(J408:M408)</f>
        <v>336.5</v>
      </c>
      <c r="O408" s="49">
        <f t="shared" ref="O408:O409" si="105">I408+N408</f>
        <v>906.26100000000008</v>
      </c>
      <c r="P408" s="99"/>
      <c r="Q408" s="99"/>
      <c r="R408" s="99"/>
      <c r="S408" s="99"/>
      <c r="T408" s="99"/>
    </row>
    <row r="409" spans="1:20" x14ac:dyDescent="0.2">
      <c r="A409" s="153" t="s">
        <v>89</v>
      </c>
      <c r="B409" s="49">
        <v>209.46100000000001</v>
      </c>
      <c r="C409" s="49">
        <v>94.531000000000006</v>
      </c>
      <c r="D409" s="49">
        <v>69.186999999999998</v>
      </c>
      <c r="E409" s="49">
        <v>66.637</v>
      </c>
      <c r="F409" s="49">
        <v>29.715</v>
      </c>
      <c r="G409" s="49">
        <v>89.664000000000001</v>
      </c>
      <c r="H409" s="49">
        <v>8.0809999999999995</v>
      </c>
      <c r="I409" s="49">
        <f t="shared" si="89"/>
        <v>567.27600000000007</v>
      </c>
      <c r="J409" s="49">
        <v>6.992</v>
      </c>
      <c r="K409" s="49">
        <v>183.34800000000001</v>
      </c>
      <c r="L409" s="49">
        <v>104.17400000000001</v>
      </c>
      <c r="M409" s="49">
        <v>31.29</v>
      </c>
      <c r="N409" s="49">
        <f t="shared" si="104"/>
        <v>325.80400000000003</v>
      </c>
      <c r="O409" s="49">
        <f t="shared" si="105"/>
        <v>893.08000000000015</v>
      </c>
      <c r="P409" s="99"/>
      <c r="Q409" s="99"/>
      <c r="R409" s="99"/>
      <c r="S409" s="99"/>
      <c r="T409" s="99"/>
    </row>
    <row r="410" spans="1:20" x14ac:dyDescent="0.2">
      <c r="A410" s="153" t="s">
        <v>127</v>
      </c>
      <c r="B410" s="49">
        <f>SUM(B407:B409)</f>
        <v>613.86500000000001</v>
      </c>
      <c r="C410" s="49">
        <f t="shared" ref="C410:H410" si="106">SUM(C407:C409)</f>
        <v>289.3</v>
      </c>
      <c r="D410" s="49">
        <f t="shared" si="106"/>
        <v>215.60700000000003</v>
      </c>
      <c r="E410" s="49">
        <f t="shared" si="106"/>
        <v>191.02199999999999</v>
      </c>
      <c r="F410" s="49">
        <f t="shared" si="106"/>
        <v>87.287000000000006</v>
      </c>
      <c r="G410" s="49">
        <f t="shared" si="106"/>
        <v>251.58999999999997</v>
      </c>
      <c r="H410" s="49">
        <f t="shared" si="106"/>
        <v>25.824999999999999</v>
      </c>
      <c r="I410" s="49">
        <f t="shared" ref="I410" si="107">SUM(B410:H410)</f>
        <v>1674.4959999999999</v>
      </c>
      <c r="J410" s="49">
        <f t="shared" ref="J410:M410" si="108">SUM(J407:J409)</f>
        <v>22.729000000000003</v>
      </c>
      <c r="K410" s="49">
        <f t="shared" si="108"/>
        <v>558.46600000000012</v>
      </c>
      <c r="L410" s="49">
        <f t="shared" si="108"/>
        <v>311.01599999999996</v>
      </c>
      <c r="M410" s="49">
        <f t="shared" si="108"/>
        <v>92.227000000000004</v>
      </c>
      <c r="N410" s="49">
        <f t="shared" ref="N410" si="109">SUM(J410:M410)</f>
        <v>984.4380000000001</v>
      </c>
      <c r="O410" s="49">
        <f t="shared" ref="O410" si="110">I410+N410</f>
        <v>2658.9340000000002</v>
      </c>
      <c r="P410" s="99"/>
      <c r="Q410" s="99"/>
      <c r="R410" s="99"/>
      <c r="S410" s="99"/>
      <c r="T410" s="99"/>
    </row>
    <row r="411" spans="1:20" x14ac:dyDescent="0.2">
      <c r="A411" s="153" t="s">
        <v>90</v>
      </c>
      <c r="B411" s="49">
        <v>205.91800000000001</v>
      </c>
      <c r="C411" s="49">
        <v>102.437</v>
      </c>
      <c r="D411" s="49">
        <v>70.540000000000006</v>
      </c>
      <c r="E411" s="49">
        <v>68.900999999999996</v>
      </c>
      <c r="F411" s="49">
        <v>29.553999999999998</v>
      </c>
      <c r="G411" s="49">
        <v>82.917000000000002</v>
      </c>
      <c r="H411" s="49">
        <v>9.1080000000000005</v>
      </c>
      <c r="I411" s="49">
        <f t="shared" si="89"/>
        <v>569.375</v>
      </c>
      <c r="J411" s="49">
        <v>8.0920000000000005</v>
      </c>
      <c r="K411" s="49">
        <v>197.83699999999999</v>
      </c>
      <c r="L411" s="49">
        <v>111.911</v>
      </c>
      <c r="M411" s="49">
        <v>32.65</v>
      </c>
      <c r="N411" s="49">
        <f t="shared" ref="N411" si="111">SUM(J411:M411)</f>
        <v>350.49</v>
      </c>
      <c r="O411" s="49">
        <f t="shared" ref="O411" si="112">I411+N411</f>
        <v>919.86500000000001</v>
      </c>
      <c r="P411" s="99"/>
      <c r="Q411" s="99"/>
      <c r="R411" s="99"/>
      <c r="S411" s="99"/>
      <c r="T411" s="99"/>
    </row>
    <row r="412" spans="1:20" x14ac:dyDescent="0.2">
      <c r="A412" s="153" t="s">
        <v>81</v>
      </c>
      <c r="B412" s="49">
        <v>215.601</v>
      </c>
      <c r="C412" s="49">
        <v>101.36799999999999</v>
      </c>
      <c r="D412" s="49">
        <v>73.241</v>
      </c>
      <c r="E412" s="49">
        <v>79.007999999999996</v>
      </c>
      <c r="F412" s="49">
        <v>29.5</v>
      </c>
      <c r="G412" s="49">
        <v>100.176</v>
      </c>
      <c r="H412" s="49">
        <v>8.6489999999999991</v>
      </c>
      <c r="I412" s="49">
        <f t="shared" si="89"/>
        <v>607.54300000000001</v>
      </c>
      <c r="J412" s="49">
        <v>7.5330000000000004</v>
      </c>
      <c r="K412" s="49">
        <v>192.57</v>
      </c>
      <c r="L412" s="49">
        <v>119.715</v>
      </c>
      <c r="M412" s="49">
        <v>26.927</v>
      </c>
      <c r="N412" s="49">
        <f t="shared" ref="N412" si="113">SUM(J412:M412)</f>
        <v>346.745</v>
      </c>
      <c r="O412" s="49">
        <f t="shared" ref="O412" si="114">I412+N412</f>
        <v>954.28800000000001</v>
      </c>
      <c r="P412" s="99"/>
      <c r="Q412" s="99"/>
      <c r="R412" s="99"/>
      <c r="S412" s="99"/>
      <c r="T412" s="99"/>
    </row>
    <row r="413" spans="1:20" x14ac:dyDescent="0.2">
      <c r="A413" s="153" t="s">
        <v>82</v>
      </c>
      <c r="B413" s="49">
        <v>206.98699999999999</v>
      </c>
      <c r="C413" s="49">
        <v>94.263999999999996</v>
      </c>
      <c r="D413" s="49">
        <v>67.643000000000001</v>
      </c>
      <c r="E413" s="49">
        <v>64.832999999999998</v>
      </c>
      <c r="F413" s="49">
        <v>30.940999999999999</v>
      </c>
      <c r="G413" s="49">
        <v>87.748000000000005</v>
      </c>
      <c r="H413" s="49">
        <v>8.734</v>
      </c>
      <c r="I413" s="49">
        <f t="shared" si="89"/>
        <v>561.15</v>
      </c>
      <c r="J413" s="49">
        <v>7.2939999999999996</v>
      </c>
      <c r="K413" s="49">
        <v>192.58699999999999</v>
      </c>
      <c r="L413" s="49">
        <v>120.8</v>
      </c>
      <c r="M413" s="49">
        <v>31.719000000000001</v>
      </c>
      <c r="N413" s="49">
        <f t="shared" ref="N413:N414" si="115">SUM(J413:M413)</f>
        <v>352.4</v>
      </c>
      <c r="O413" s="49">
        <f t="shared" ref="O413:O414" si="116">I413+N413</f>
        <v>913.55</v>
      </c>
      <c r="P413" s="99"/>
      <c r="Q413" s="99"/>
      <c r="R413" s="99"/>
      <c r="S413" s="99"/>
      <c r="T413" s="99"/>
    </row>
    <row r="414" spans="1:20" x14ac:dyDescent="0.2">
      <c r="A414" s="153" t="s">
        <v>128</v>
      </c>
      <c r="B414" s="49">
        <f>SUM(B411:B413)</f>
        <v>628.50599999999997</v>
      </c>
      <c r="C414" s="49">
        <f t="shared" ref="C414:H414" si="117">SUM(C411:C413)</f>
        <v>298.06900000000002</v>
      </c>
      <c r="D414" s="49">
        <f t="shared" si="117"/>
        <v>211.42400000000001</v>
      </c>
      <c r="E414" s="49">
        <f t="shared" si="117"/>
        <v>212.74199999999999</v>
      </c>
      <c r="F414" s="49">
        <f t="shared" si="117"/>
        <v>89.995000000000005</v>
      </c>
      <c r="G414" s="49">
        <f t="shared" si="117"/>
        <v>270.84100000000001</v>
      </c>
      <c r="H414" s="49">
        <f t="shared" si="117"/>
        <v>26.491</v>
      </c>
      <c r="I414" s="49">
        <f t="shared" si="89"/>
        <v>1738.0679999999998</v>
      </c>
      <c r="J414" s="49">
        <f t="shared" ref="J414:M414" si="118">SUM(J411:J413)</f>
        <v>22.919</v>
      </c>
      <c r="K414" s="49">
        <f t="shared" si="118"/>
        <v>582.99399999999991</v>
      </c>
      <c r="L414" s="49">
        <f t="shared" si="118"/>
        <v>352.42599999999999</v>
      </c>
      <c r="M414" s="49">
        <f t="shared" si="118"/>
        <v>91.295999999999992</v>
      </c>
      <c r="N414" s="49">
        <f t="shared" si="115"/>
        <v>1049.635</v>
      </c>
      <c r="O414" s="49">
        <f t="shared" si="116"/>
        <v>2787.7029999999995</v>
      </c>
      <c r="P414" s="99"/>
      <c r="Q414" s="99"/>
      <c r="R414" s="99"/>
      <c r="S414" s="99"/>
      <c r="T414" s="99"/>
    </row>
    <row r="415" spans="1:20" x14ac:dyDescent="0.2">
      <c r="A415" s="153" t="s">
        <v>135</v>
      </c>
      <c r="B415" s="49">
        <v>226.554</v>
      </c>
      <c r="C415" s="49">
        <v>116.669</v>
      </c>
      <c r="D415" s="49">
        <v>78.477999999999994</v>
      </c>
      <c r="E415" s="49">
        <v>71.778999999999996</v>
      </c>
      <c r="F415" s="49">
        <v>35.143000000000001</v>
      </c>
      <c r="G415" s="49">
        <v>99.268000000000001</v>
      </c>
      <c r="H415" s="49">
        <v>9.1349999999999998</v>
      </c>
      <c r="I415" s="49">
        <f t="shared" si="89"/>
        <v>637.02600000000007</v>
      </c>
      <c r="J415" s="49">
        <v>9.4939999999999998</v>
      </c>
      <c r="K415" s="49">
        <v>208.25700000000001</v>
      </c>
      <c r="L415" s="49">
        <v>132.589</v>
      </c>
      <c r="M415" s="49">
        <v>35.195999999999998</v>
      </c>
      <c r="N415" s="49">
        <f t="shared" ref="N415" si="119">SUM(J415:M415)</f>
        <v>385.53600000000006</v>
      </c>
      <c r="O415" s="49">
        <f t="shared" ref="O415" si="120">I415+N415</f>
        <v>1022.5620000000001</v>
      </c>
      <c r="P415" s="99"/>
      <c r="Q415" s="99"/>
      <c r="R415" s="99"/>
      <c r="S415" s="99"/>
      <c r="T415" s="99"/>
    </row>
    <row r="416" spans="1:20" x14ac:dyDescent="0.2">
      <c r="A416" s="153" t="s">
        <v>148</v>
      </c>
      <c r="B416" s="49">
        <v>202.97900000000001</v>
      </c>
      <c r="C416" s="49">
        <v>95.864999999999995</v>
      </c>
      <c r="D416" s="49">
        <v>69.397000000000006</v>
      </c>
      <c r="E416" s="49">
        <v>67.936999999999998</v>
      </c>
      <c r="F416" s="49">
        <v>29.879000000000001</v>
      </c>
      <c r="G416" s="49">
        <v>95.911000000000001</v>
      </c>
      <c r="H416" s="49">
        <v>7.7990000000000004</v>
      </c>
      <c r="I416" s="49">
        <f t="shared" si="89"/>
        <v>569.76700000000005</v>
      </c>
      <c r="J416" s="49">
        <v>7.4640000000000004</v>
      </c>
      <c r="K416" s="49">
        <v>182.84399999999999</v>
      </c>
      <c r="L416" s="49">
        <v>117.313</v>
      </c>
      <c r="M416" s="49">
        <v>25.05</v>
      </c>
      <c r="N416" s="49">
        <f t="shared" ref="N416" si="121">SUM(J416:M416)</f>
        <v>332.67099999999999</v>
      </c>
      <c r="O416" s="49">
        <f t="shared" ref="O416" si="122">I416+N416</f>
        <v>902.4380000000001</v>
      </c>
      <c r="P416" s="99"/>
      <c r="Q416" s="99"/>
      <c r="R416" s="99"/>
      <c r="S416" s="99"/>
      <c r="T416" s="99"/>
    </row>
    <row r="417" spans="1:20" x14ac:dyDescent="0.2">
      <c r="A417" s="153" t="s">
        <v>87</v>
      </c>
      <c r="B417" s="49">
        <v>178.584</v>
      </c>
      <c r="C417" s="49">
        <v>91.353999999999999</v>
      </c>
      <c r="D417" s="49">
        <v>64.613</v>
      </c>
      <c r="E417" s="49">
        <v>64.962999999999994</v>
      </c>
      <c r="F417" s="49">
        <v>27.617000000000001</v>
      </c>
      <c r="G417" s="49">
        <v>86.798000000000002</v>
      </c>
      <c r="H417" s="49">
        <v>9.6069999999999993</v>
      </c>
      <c r="I417" s="49">
        <f t="shared" si="89"/>
        <v>523.53600000000006</v>
      </c>
      <c r="J417" s="49">
        <v>8.298</v>
      </c>
      <c r="K417" s="49">
        <v>187.47200000000001</v>
      </c>
      <c r="L417" s="49">
        <v>107.126</v>
      </c>
      <c r="M417" s="49">
        <v>28.513000000000002</v>
      </c>
      <c r="N417" s="49">
        <f t="shared" ref="N417:N418" si="123">SUM(J417:M417)</f>
        <v>331.40899999999999</v>
      </c>
      <c r="O417" s="49">
        <f t="shared" ref="O417:O418" si="124">I417+N417</f>
        <v>854.94500000000005</v>
      </c>
      <c r="P417" s="99"/>
      <c r="Q417" s="99"/>
      <c r="R417" s="99"/>
      <c r="S417" s="99"/>
      <c r="T417" s="99"/>
    </row>
    <row r="418" spans="1:20" x14ac:dyDescent="0.2">
      <c r="A418" s="153" t="s">
        <v>129</v>
      </c>
      <c r="B418" s="49">
        <f>SUM(B415:B417)</f>
        <v>608.11699999999996</v>
      </c>
      <c r="C418" s="49">
        <f t="shared" ref="C418:H418" si="125">SUM(C415:C417)</f>
        <v>303.88799999999998</v>
      </c>
      <c r="D418" s="49">
        <f t="shared" si="125"/>
        <v>212.488</v>
      </c>
      <c r="E418" s="49">
        <f t="shared" si="125"/>
        <v>204.679</v>
      </c>
      <c r="F418" s="49">
        <f t="shared" si="125"/>
        <v>92.63900000000001</v>
      </c>
      <c r="G418" s="49">
        <f t="shared" si="125"/>
        <v>281.97699999999998</v>
      </c>
      <c r="H418" s="49">
        <f t="shared" si="125"/>
        <v>26.541</v>
      </c>
      <c r="I418" s="49">
        <f t="shared" ref="I418" si="126">SUM(B418:H418)</f>
        <v>1730.329</v>
      </c>
      <c r="J418" s="49">
        <f t="shared" ref="J418:M418" si="127">SUM(J415:J417)</f>
        <v>25.256</v>
      </c>
      <c r="K418" s="49">
        <f t="shared" si="127"/>
        <v>578.57299999999998</v>
      </c>
      <c r="L418" s="49">
        <f t="shared" si="127"/>
        <v>357.02800000000002</v>
      </c>
      <c r="M418" s="49">
        <f t="shared" si="127"/>
        <v>88.759</v>
      </c>
      <c r="N418" s="49">
        <f t="shared" si="123"/>
        <v>1049.616</v>
      </c>
      <c r="O418" s="49">
        <f t="shared" si="124"/>
        <v>2779.9449999999997</v>
      </c>
      <c r="P418" s="99"/>
      <c r="Q418" s="99"/>
      <c r="R418" s="99"/>
      <c r="S418" s="99"/>
      <c r="T418" s="99"/>
    </row>
    <row r="419" spans="1:20" x14ac:dyDescent="0.2">
      <c r="A419" s="153"/>
      <c r="P419" s="99"/>
      <c r="Q419" s="99"/>
      <c r="R419" s="99"/>
      <c r="S419" s="99"/>
      <c r="T419" s="99"/>
    </row>
    <row r="420" spans="1:20" x14ac:dyDescent="0.2">
      <c r="A420" s="76">
        <v>2024</v>
      </c>
      <c r="P420" s="99"/>
    </row>
    <row r="421" spans="1:20" x14ac:dyDescent="0.2">
      <c r="A421" s="76" t="s">
        <v>74</v>
      </c>
      <c r="B421" s="49">
        <v>197.52</v>
      </c>
      <c r="C421" s="49">
        <v>94.311000000000007</v>
      </c>
      <c r="D421" s="49">
        <v>65.516999999999996</v>
      </c>
      <c r="E421" s="49">
        <v>75.781999999999996</v>
      </c>
      <c r="F421" s="49">
        <v>33.485999999999997</v>
      </c>
      <c r="G421" s="49">
        <v>89.373999999999995</v>
      </c>
      <c r="H421" s="49">
        <v>6.8719999999999999</v>
      </c>
      <c r="I421" s="49">
        <f t="shared" ref="I421:I423" si="128">SUM(B421:H421)</f>
        <v>562.86199999999997</v>
      </c>
      <c r="J421" s="49">
        <v>6.5979999999999999</v>
      </c>
      <c r="K421" s="49">
        <v>151.05199999999999</v>
      </c>
      <c r="L421" s="49">
        <v>86.382000000000005</v>
      </c>
      <c r="M421" s="49">
        <v>28.366</v>
      </c>
      <c r="N421" s="49">
        <f t="shared" ref="N421" si="129">SUM(J421:M421)</f>
        <v>272.39800000000002</v>
      </c>
      <c r="O421" s="49">
        <f t="shared" ref="O421" si="130">I421+N421</f>
        <v>835.26</v>
      </c>
      <c r="P421" s="99"/>
    </row>
    <row r="422" spans="1:20" x14ac:dyDescent="0.2">
      <c r="A422" s="76" t="s">
        <v>140</v>
      </c>
      <c r="B422" s="49">
        <v>201.56299999999999</v>
      </c>
      <c r="C422" s="49">
        <v>108.029</v>
      </c>
      <c r="D422" s="49">
        <v>68.096999999999994</v>
      </c>
      <c r="E422" s="49">
        <v>74.478999999999999</v>
      </c>
      <c r="F422" s="49">
        <v>32.176000000000002</v>
      </c>
      <c r="G422" s="49">
        <v>91.763999999999996</v>
      </c>
      <c r="H422" s="49">
        <v>5.9969999999999999</v>
      </c>
      <c r="I422" s="49">
        <f t="shared" si="128"/>
        <v>582.1049999999999</v>
      </c>
      <c r="J422" s="49">
        <v>6.548</v>
      </c>
      <c r="K422" s="49">
        <v>161.44399999999999</v>
      </c>
      <c r="L422" s="49">
        <v>92.046999999999997</v>
      </c>
      <c r="M422" s="49">
        <v>33.07</v>
      </c>
      <c r="N422" s="49">
        <f t="shared" ref="N422:N423" si="131">SUM(J422:M422)</f>
        <v>293.10899999999998</v>
      </c>
      <c r="O422" s="49">
        <f t="shared" ref="O422:O423" si="132">I422+N422</f>
        <v>875.21399999999994</v>
      </c>
      <c r="P422" s="99"/>
    </row>
    <row r="423" spans="1:20" x14ac:dyDescent="0.2">
      <c r="A423" s="76" t="s">
        <v>76</v>
      </c>
      <c r="B423" s="49">
        <v>212.232</v>
      </c>
      <c r="C423" s="49">
        <v>104.08199999999999</v>
      </c>
      <c r="D423" s="49">
        <v>74.893000000000001</v>
      </c>
      <c r="E423" s="49">
        <v>78.013999999999996</v>
      </c>
      <c r="F423" s="49">
        <v>34.304000000000002</v>
      </c>
      <c r="G423" s="49">
        <v>97.935000000000002</v>
      </c>
      <c r="H423" s="49">
        <v>7.8570000000000002</v>
      </c>
      <c r="I423" s="49">
        <f t="shared" si="128"/>
        <v>609.31700000000001</v>
      </c>
      <c r="J423" s="49">
        <v>8.6739999999999995</v>
      </c>
      <c r="K423" s="49">
        <v>193.07900000000001</v>
      </c>
      <c r="L423" s="49">
        <v>106.36199999999999</v>
      </c>
      <c r="M423" s="49">
        <v>34.277000000000001</v>
      </c>
      <c r="N423" s="49">
        <f t="shared" si="131"/>
        <v>342.392</v>
      </c>
      <c r="O423" s="49">
        <f t="shared" si="132"/>
        <v>951.70900000000006</v>
      </c>
      <c r="P423" s="99"/>
    </row>
    <row r="424" spans="1:20" x14ac:dyDescent="0.2">
      <c r="A424" s="171" t="s">
        <v>126</v>
      </c>
      <c r="B424" s="49">
        <f>SUM(B421:B423)</f>
        <v>611.31499999999994</v>
      </c>
      <c r="C424" s="49">
        <f t="shared" ref="C424:H424" si="133">SUM(C421:C423)</f>
        <v>306.42200000000003</v>
      </c>
      <c r="D424" s="49">
        <f t="shared" si="133"/>
        <v>208.50699999999998</v>
      </c>
      <c r="E424" s="49">
        <f t="shared" si="133"/>
        <v>228.27499999999998</v>
      </c>
      <c r="F424" s="49">
        <f t="shared" si="133"/>
        <v>99.966000000000008</v>
      </c>
      <c r="G424" s="49">
        <f t="shared" si="133"/>
        <v>279.07299999999998</v>
      </c>
      <c r="H424" s="49">
        <f t="shared" si="133"/>
        <v>20.725999999999999</v>
      </c>
      <c r="I424" s="49">
        <f t="shared" ref="I424:I427" si="134">SUM(B424:H424)</f>
        <v>1754.2839999999997</v>
      </c>
      <c r="J424" s="49">
        <f t="shared" ref="J424:M424" si="135">SUM(J421:J423)</f>
        <v>21.82</v>
      </c>
      <c r="K424" s="49">
        <f t="shared" si="135"/>
        <v>505.57499999999999</v>
      </c>
      <c r="L424" s="49">
        <f t="shared" si="135"/>
        <v>284.791</v>
      </c>
      <c r="M424" s="49">
        <f t="shared" si="135"/>
        <v>95.712999999999994</v>
      </c>
      <c r="N424" s="49">
        <f t="shared" ref="N424" si="136">SUM(J424:M424)</f>
        <v>907.89899999999989</v>
      </c>
      <c r="O424" s="49">
        <f t="shared" ref="O424" si="137">I424+N424</f>
        <v>2662.1829999999995</v>
      </c>
      <c r="P424" s="99"/>
      <c r="Q424" s="99"/>
      <c r="R424" s="99"/>
      <c r="S424" s="99"/>
      <c r="T424" s="99"/>
    </row>
    <row r="425" spans="1:20" x14ac:dyDescent="0.2">
      <c r="A425" s="171" t="s">
        <v>78</v>
      </c>
      <c r="B425" s="50">
        <v>209.58699999999999</v>
      </c>
      <c r="C425" s="50">
        <v>105.102</v>
      </c>
      <c r="D425" s="50">
        <v>71.727000000000004</v>
      </c>
      <c r="E425" s="50">
        <v>73.608000000000004</v>
      </c>
      <c r="F425" s="50">
        <v>35.158999999999999</v>
      </c>
      <c r="G425" s="50">
        <v>99.704999999999998</v>
      </c>
      <c r="H425" s="50">
        <v>7.0910000000000002</v>
      </c>
      <c r="I425" s="50">
        <f t="shared" si="134"/>
        <v>601.97899999999993</v>
      </c>
      <c r="J425" s="50">
        <v>6.9640000000000004</v>
      </c>
      <c r="K425" s="50">
        <v>167.482</v>
      </c>
      <c r="L425" s="50">
        <v>94.198999999999998</v>
      </c>
      <c r="M425" s="50">
        <v>31.283999999999999</v>
      </c>
      <c r="N425" s="50">
        <f t="shared" ref="N425" si="138">SUM(J425:M425)</f>
        <v>299.92899999999997</v>
      </c>
      <c r="O425" s="49">
        <f t="shared" ref="O425" si="139">I425+N425</f>
        <v>901.9079999999999</v>
      </c>
      <c r="P425" s="99"/>
      <c r="Q425" s="99"/>
      <c r="R425" s="99"/>
      <c r="S425" s="99"/>
      <c r="T425" s="99"/>
    </row>
    <row r="426" spans="1:20" x14ac:dyDescent="0.2">
      <c r="A426" s="171" t="s">
        <v>79</v>
      </c>
      <c r="B426" s="50">
        <v>214.441</v>
      </c>
      <c r="C426" s="50">
        <v>95.757999999999996</v>
      </c>
      <c r="D426" s="50">
        <v>73.406999999999996</v>
      </c>
      <c r="E426" s="50">
        <v>72.644999999999996</v>
      </c>
      <c r="F426" s="50">
        <v>33.658999999999999</v>
      </c>
      <c r="G426" s="50">
        <v>100.395</v>
      </c>
      <c r="H426" s="50">
        <v>7.7969999999999997</v>
      </c>
      <c r="I426" s="50">
        <f t="shared" si="134"/>
        <v>598.10199999999998</v>
      </c>
      <c r="J426" s="50">
        <v>7.117</v>
      </c>
      <c r="K426" s="50">
        <v>176.91499999999999</v>
      </c>
      <c r="L426" s="50">
        <v>98.938000000000002</v>
      </c>
      <c r="M426" s="50">
        <v>32.269999999999996</v>
      </c>
      <c r="N426" s="50">
        <f t="shared" ref="N426" si="140">SUM(J426:M426)</f>
        <v>315.23999999999995</v>
      </c>
      <c r="O426" s="49">
        <f t="shared" ref="O426" si="141">I426+N426</f>
        <v>913.34199999999987</v>
      </c>
      <c r="P426" s="99"/>
      <c r="Q426" s="99"/>
      <c r="R426" s="99"/>
      <c r="S426" s="99"/>
      <c r="T426" s="99"/>
    </row>
    <row r="427" spans="1:20" x14ac:dyDescent="0.2">
      <c r="A427" s="171" t="s">
        <v>89</v>
      </c>
      <c r="B427" s="50">
        <v>208.22200000000001</v>
      </c>
      <c r="C427" s="50">
        <v>106.119</v>
      </c>
      <c r="D427" s="50">
        <v>73.778999999999996</v>
      </c>
      <c r="E427" s="50">
        <v>74.262</v>
      </c>
      <c r="F427" s="50">
        <v>34.548000000000002</v>
      </c>
      <c r="G427" s="50">
        <v>99.004999999999995</v>
      </c>
      <c r="H427" s="50">
        <v>7.8360000000000003</v>
      </c>
      <c r="I427" s="50">
        <f t="shared" si="134"/>
        <v>603.77099999999996</v>
      </c>
      <c r="J427" s="50">
        <v>8.4870000000000001</v>
      </c>
      <c r="K427" s="50">
        <v>196.36</v>
      </c>
      <c r="L427" s="50">
        <v>109.48</v>
      </c>
      <c r="M427" s="50">
        <v>31.566000000000003</v>
      </c>
      <c r="N427" s="50">
        <f t="shared" ref="N427:N428" si="142">SUM(J427:M427)</f>
        <v>345.89300000000003</v>
      </c>
      <c r="O427" s="49">
        <f t="shared" ref="O427:O428" si="143">I427+N427</f>
        <v>949.66399999999999</v>
      </c>
      <c r="P427" s="99"/>
      <c r="Q427" s="99"/>
      <c r="R427" s="99"/>
      <c r="S427" s="99"/>
      <c r="T427" s="99"/>
    </row>
    <row r="428" spans="1:20" x14ac:dyDescent="0.2">
      <c r="A428" s="171" t="s">
        <v>127</v>
      </c>
      <c r="B428" s="50">
        <f t="shared" ref="B428:H428" si="144">SUM(B425:B427)</f>
        <v>632.25</v>
      </c>
      <c r="C428" s="50">
        <f t="shared" si="144"/>
        <v>306.97900000000004</v>
      </c>
      <c r="D428" s="50">
        <f t="shared" si="144"/>
        <v>218.91300000000001</v>
      </c>
      <c r="E428" s="50">
        <f t="shared" si="144"/>
        <v>220.51499999999999</v>
      </c>
      <c r="F428" s="50">
        <f t="shared" si="144"/>
        <v>103.366</v>
      </c>
      <c r="G428" s="50">
        <f t="shared" si="144"/>
        <v>299.10500000000002</v>
      </c>
      <c r="H428" s="50">
        <f t="shared" si="144"/>
        <v>22.724</v>
      </c>
      <c r="I428" s="49">
        <f t="shared" ref="I428:I434" si="145">SUM(B428:H428)</f>
        <v>1803.8520000000001</v>
      </c>
      <c r="J428" s="50">
        <f t="shared" ref="J428:M428" si="146">SUM(J425:J427)</f>
        <v>22.567999999999998</v>
      </c>
      <c r="K428" s="50">
        <f t="shared" si="146"/>
        <v>540.75700000000006</v>
      </c>
      <c r="L428" s="50">
        <f t="shared" si="146"/>
        <v>302.61700000000002</v>
      </c>
      <c r="M428" s="50">
        <f t="shared" si="146"/>
        <v>95.12</v>
      </c>
      <c r="N428" s="50">
        <f t="shared" si="142"/>
        <v>961.06200000000001</v>
      </c>
      <c r="O428" s="49">
        <f t="shared" si="143"/>
        <v>2764.9140000000002</v>
      </c>
      <c r="P428" s="99"/>
      <c r="Q428" s="99"/>
      <c r="R428" s="99"/>
      <c r="S428" s="99"/>
      <c r="T428" s="99"/>
    </row>
    <row r="429" spans="1:20" x14ac:dyDescent="0.2">
      <c r="A429" s="171" t="s">
        <v>90</v>
      </c>
      <c r="B429" s="50">
        <v>207.964</v>
      </c>
      <c r="C429" s="50">
        <v>95.721999999999994</v>
      </c>
      <c r="D429" s="50">
        <v>72.421999999999997</v>
      </c>
      <c r="E429" s="50">
        <v>78.927999999999997</v>
      </c>
      <c r="F429" s="50">
        <v>30.28</v>
      </c>
      <c r="G429" s="50">
        <v>99.375</v>
      </c>
      <c r="H429" s="50">
        <v>6.9509999999999996</v>
      </c>
      <c r="I429" s="50">
        <f t="shared" si="145"/>
        <v>591.64199999999994</v>
      </c>
      <c r="J429" s="50">
        <v>7.47</v>
      </c>
      <c r="K429" s="50">
        <v>160.83099999999999</v>
      </c>
      <c r="L429" s="50">
        <v>103.25700000000001</v>
      </c>
      <c r="M429" s="50">
        <v>24.577999999999999</v>
      </c>
      <c r="N429" s="50">
        <f t="shared" ref="N429" si="147">SUM(J429:M429)</f>
        <v>296.13599999999997</v>
      </c>
      <c r="O429" s="49">
        <f t="shared" ref="O429" si="148">I429+N429</f>
        <v>887.77799999999991</v>
      </c>
      <c r="P429" s="99"/>
      <c r="Q429" s="99"/>
      <c r="R429" s="99"/>
      <c r="S429" s="99"/>
      <c r="T429" s="99"/>
    </row>
    <row r="430" spans="1:20" x14ac:dyDescent="0.2">
      <c r="A430" s="171" t="s">
        <v>81</v>
      </c>
      <c r="B430" s="50">
        <v>212.77199999999999</v>
      </c>
      <c r="C430" s="50">
        <v>107.497</v>
      </c>
      <c r="D430" s="50">
        <v>75.677999999999997</v>
      </c>
      <c r="E430" s="50">
        <v>79.802999999999997</v>
      </c>
      <c r="F430" s="50">
        <v>36.25</v>
      </c>
      <c r="G430" s="50">
        <v>101.666</v>
      </c>
      <c r="H430" s="50">
        <v>7.8330000000000002</v>
      </c>
      <c r="I430" s="50">
        <f t="shared" si="145"/>
        <v>621.49899999999991</v>
      </c>
      <c r="J430" s="50">
        <v>8.8320000000000007</v>
      </c>
      <c r="K430" s="50">
        <v>177.54599999999999</v>
      </c>
      <c r="L430" s="50">
        <v>119.58499999999999</v>
      </c>
      <c r="M430" s="50">
        <v>30.225000000000001</v>
      </c>
      <c r="N430" s="50">
        <f t="shared" ref="N430" si="149">SUM(J430:M430)</f>
        <v>336.18799999999999</v>
      </c>
      <c r="O430" s="49">
        <f t="shared" ref="O430" si="150">I430+N430</f>
        <v>957.6869999999999</v>
      </c>
      <c r="P430" s="99"/>
      <c r="Q430" s="99"/>
      <c r="R430" s="99"/>
      <c r="S430" s="99"/>
      <c r="T430" s="99"/>
    </row>
    <row r="431" spans="1:20" x14ac:dyDescent="0.2">
      <c r="A431" s="171" t="s">
        <v>82</v>
      </c>
      <c r="B431" s="50">
        <v>181.52199999999999</v>
      </c>
      <c r="C431" s="50">
        <v>99.381</v>
      </c>
      <c r="D431" s="50">
        <v>70.644999999999996</v>
      </c>
      <c r="E431" s="50">
        <v>71.613</v>
      </c>
      <c r="F431" s="50">
        <v>37.186999999999998</v>
      </c>
      <c r="G431" s="50">
        <v>115.372</v>
      </c>
      <c r="H431" s="50">
        <v>7.923</v>
      </c>
      <c r="I431" s="50">
        <f t="shared" si="145"/>
        <v>583.64300000000003</v>
      </c>
      <c r="J431" s="50">
        <v>8.3559999999999999</v>
      </c>
      <c r="K431" s="50">
        <v>178.59800000000001</v>
      </c>
      <c r="L431" s="50">
        <v>111.122</v>
      </c>
      <c r="M431" s="50">
        <v>31.605</v>
      </c>
      <c r="N431" s="50">
        <f t="shared" ref="N431:N432" si="151">SUM(J431:M431)</f>
        <v>329.68100000000004</v>
      </c>
      <c r="O431" s="49">
        <f t="shared" ref="O431:O432" si="152">I431+N431</f>
        <v>913.32400000000007</v>
      </c>
      <c r="P431" s="99"/>
      <c r="Q431" s="99"/>
      <c r="R431" s="99"/>
      <c r="S431" s="99"/>
      <c r="T431" s="99"/>
    </row>
    <row r="432" spans="1:20" x14ac:dyDescent="0.2">
      <c r="A432" s="171" t="s">
        <v>128</v>
      </c>
      <c r="B432" s="50">
        <f t="shared" ref="B432:H432" si="153">SUM(B429:B431)</f>
        <v>602.25800000000004</v>
      </c>
      <c r="C432" s="50">
        <f t="shared" si="153"/>
        <v>302.60000000000002</v>
      </c>
      <c r="D432" s="50">
        <f t="shared" si="153"/>
        <v>218.745</v>
      </c>
      <c r="E432" s="50">
        <f t="shared" si="153"/>
        <v>230.34399999999999</v>
      </c>
      <c r="F432" s="50">
        <f t="shared" si="153"/>
        <v>103.717</v>
      </c>
      <c r="G432" s="50">
        <f t="shared" si="153"/>
        <v>316.41300000000001</v>
      </c>
      <c r="H432" s="50">
        <f t="shared" si="153"/>
        <v>22.707000000000001</v>
      </c>
      <c r="I432" s="49">
        <f t="shared" ref="I432" si="154">SUM(B432:H432)</f>
        <v>1796.7840000000003</v>
      </c>
      <c r="J432" s="50">
        <f t="shared" ref="J432:M432" si="155">SUM(J429:J431)</f>
        <v>24.658000000000001</v>
      </c>
      <c r="K432" s="50">
        <f t="shared" si="155"/>
        <v>516.97499999999991</v>
      </c>
      <c r="L432" s="50">
        <f t="shared" si="155"/>
        <v>333.964</v>
      </c>
      <c r="M432" s="50">
        <f t="shared" si="155"/>
        <v>86.408000000000001</v>
      </c>
      <c r="N432" s="50">
        <f t="shared" si="151"/>
        <v>962.005</v>
      </c>
      <c r="O432" s="49">
        <f t="shared" si="152"/>
        <v>2758.7890000000002</v>
      </c>
      <c r="P432" s="99"/>
      <c r="Q432" s="99"/>
      <c r="R432" s="99"/>
      <c r="S432" s="99"/>
      <c r="T432" s="99"/>
    </row>
    <row r="433" spans="1:20" x14ac:dyDescent="0.2">
      <c r="A433" s="171" t="s">
        <v>85</v>
      </c>
      <c r="B433" s="50">
        <v>212.98599999999999</v>
      </c>
      <c r="C433" s="50">
        <v>105.821</v>
      </c>
      <c r="D433" s="50">
        <v>72.984999999999999</v>
      </c>
      <c r="E433" s="50">
        <v>73.415999999999997</v>
      </c>
      <c r="F433" s="50">
        <v>40.332000000000001</v>
      </c>
      <c r="G433" s="50">
        <v>113.22499999999999</v>
      </c>
      <c r="H433" s="50">
        <v>8.2569999999999997</v>
      </c>
      <c r="I433" s="49">
        <f t="shared" si="145"/>
        <v>627.02199999999993</v>
      </c>
      <c r="J433" s="50">
        <v>9.02</v>
      </c>
      <c r="K433" s="50">
        <v>174.00200000000001</v>
      </c>
      <c r="L433" s="50">
        <v>123</v>
      </c>
      <c r="M433" s="50">
        <v>28.236999999999998</v>
      </c>
      <c r="N433" s="50">
        <f t="shared" ref="N433" si="156">SUM(J433:M433)</f>
        <v>334.25900000000007</v>
      </c>
      <c r="O433" s="49">
        <f>I433+N433</f>
        <v>961.28099999999995</v>
      </c>
      <c r="P433" s="99"/>
      <c r="Q433" s="99"/>
      <c r="R433" s="99"/>
      <c r="S433" s="99"/>
      <c r="T433" s="99"/>
    </row>
    <row r="434" spans="1:20" x14ac:dyDescent="0.2">
      <c r="A434" s="170" t="s">
        <v>148</v>
      </c>
      <c r="B434" s="167">
        <v>199.99700000000001</v>
      </c>
      <c r="C434" s="167">
        <v>94.887</v>
      </c>
      <c r="D434" s="167">
        <v>67.671999999999997</v>
      </c>
      <c r="E434" s="167">
        <v>71.466999999999999</v>
      </c>
      <c r="F434" s="167">
        <v>36.216999999999999</v>
      </c>
      <c r="G434" s="167">
        <v>95.43</v>
      </c>
      <c r="H434" s="167">
        <v>7.9649999999999999</v>
      </c>
      <c r="I434" s="129">
        <f t="shared" si="145"/>
        <v>573.6350000000001</v>
      </c>
      <c r="J434" s="167">
        <v>9.2479999999999993</v>
      </c>
      <c r="K434" s="167">
        <v>166.59800000000001</v>
      </c>
      <c r="L434" s="167">
        <v>120.563</v>
      </c>
      <c r="M434" s="167">
        <v>28.636999999999997</v>
      </c>
      <c r="N434" s="167">
        <f t="shared" ref="N434" si="157">SUM(J434:M434)</f>
        <v>325.04599999999999</v>
      </c>
      <c r="O434" s="129">
        <f>I434+N434</f>
        <v>898.68100000000004</v>
      </c>
      <c r="P434" s="99"/>
      <c r="Q434" s="99"/>
      <c r="R434" s="99"/>
      <c r="S434" s="99"/>
      <c r="T434" s="99"/>
    </row>
    <row r="435" spans="1:20" x14ac:dyDescent="0.2">
      <c r="A435" s="33" t="s">
        <v>356</v>
      </c>
      <c r="B435" s="97"/>
      <c r="C435" s="97"/>
      <c r="D435" s="97"/>
      <c r="E435" s="97"/>
      <c r="F435" s="97"/>
      <c r="G435" s="97"/>
      <c r="H435" s="97"/>
      <c r="I435" s="97"/>
      <c r="J435" s="97"/>
      <c r="K435" s="97"/>
      <c r="L435" s="97"/>
      <c r="M435" s="97"/>
      <c r="N435" s="97"/>
      <c r="O435" s="158"/>
    </row>
    <row r="436" spans="1:20" x14ac:dyDescent="0.2">
      <c r="A436" s="86" t="s">
        <v>395</v>
      </c>
      <c r="B436" s="98"/>
      <c r="C436" s="98"/>
      <c r="D436" s="98"/>
      <c r="E436" s="98"/>
      <c r="F436" s="98"/>
      <c r="G436" s="98"/>
      <c r="H436" s="98"/>
      <c r="I436" s="98"/>
      <c r="J436" s="98"/>
      <c r="K436" s="98"/>
      <c r="L436" s="98"/>
      <c r="M436" s="98"/>
      <c r="N436" s="98"/>
      <c r="O436" s="98"/>
    </row>
    <row r="437" spans="1:20" x14ac:dyDescent="0.2">
      <c r="A437" s="86" t="s">
        <v>136</v>
      </c>
      <c r="B437" s="83"/>
      <c r="C437" s="83"/>
      <c r="D437" s="83"/>
      <c r="E437" s="83"/>
      <c r="F437" s="83"/>
      <c r="G437" s="83"/>
      <c r="H437" s="83"/>
      <c r="I437" s="83"/>
      <c r="J437" s="83"/>
      <c r="K437" s="83"/>
      <c r="L437" s="83"/>
      <c r="M437" s="83"/>
      <c r="N437" s="83"/>
      <c r="O437" s="83"/>
    </row>
    <row r="438" spans="1:20" x14ac:dyDescent="0.2">
      <c r="A438" s="86" t="s">
        <v>392</v>
      </c>
    </row>
    <row r="439" spans="1:20" x14ac:dyDescent="0.2">
      <c r="A439" s="86" t="s">
        <v>408</v>
      </c>
    </row>
    <row r="440" spans="1:20" x14ac:dyDescent="0.2">
      <c r="A440" s="76" t="s">
        <v>332</v>
      </c>
    </row>
    <row r="443" spans="1:20" x14ac:dyDescent="0.2">
      <c r="A443" s="157"/>
      <c r="B443" s="97"/>
      <c r="C443" s="97"/>
      <c r="D443" s="97"/>
      <c r="E443" s="97"/>
      <c r="F443" s="97"/>
      <c r="G443" s="97"/>
      <c r="H443" s="97"/>
      <c r="I443" s="97"/>
      <c r="J443" s="97"/>
      <c r="K443" s="97"/>
      <c r="L443" s="97"/>
      <c r="M443" s="97"/>
      <c r="N443" s="97"/>
      <c r="O443" s="97"/>
    </row>
    <row r="444" spans="1:20" x14ac:dyDescent="0.2">
      <c r="A444" s="157"/>
      <c r="B444" s="97"/>
      <c r="C444" s="97"/>
      <c r="D444" s="97"/>
      <c r="E444" s="97"/>
      <c r="F444" s="97"/>
      <c r="G444" s="97"/>
      <c r="H444" s="97"/>
      <c r="I444" s="97"/>
      <c r="J444" s="97"/>
      <c r="K444" s="97"/>
      <c r="L444" s="97"/>
      <c r="M444" s="97"/>
      <c r="N444" s="97"/>
      <c r="O444" s="97"/>
    </row>
    <row r="445" spans="1:20" x14ac:dyDescent="0.2">
      <c r="A445" s="157"/>
      <c r="B445" s="97"/>
      <c r="C445" s="97"/>
      <c r="D445" s="97"/>
      <c r="E445" s="97"/>
      <c r="F445" s="97"/>
      <c r="G445" s="97"/>
      <c r="H445" s="97"/>
      <c r="I445" s="97"/>
      <c r="J445" s="97"/>
      <c r="K445" s="97"/>
      <c r="L445" s="97"/>
      <c r="M445" s="97"/>
      <c r="N445" s="97"/>
      <c r="O445" s="97"/>
    </row>
    <row r="446" spans="1:20" x14ac:dyDescent="0.2">
      <c r="A446" s="157"/>
      <c r="B446" s="97"/>
      <c r="C446" s="97"/>
      <c r="D446" s="97"/>
      <c r="E446" s="97"/>
      <c r="F446" s="97"/>
      <c r="G446" s="97"/>
      <c r="H446" s="97"/>
      <c r="I446" s="97"/>
      <c r="J446" s="97"/>
      <c r="K446" s="97"/>
      <c r="L446" s="97"/>
      <c r="M446" s="97"/>
      <c r="N446" s="97"/>
      <c r="O446" s="97"/>
    </row>
    <row r="447" spans="1:20" x14ac:dyDescent="0.2">
      <c r="A447" s="157"/>
      <c r="B447" s="97"/>
      <c r="C447" s="97"/>
      <c r="D447" s="97"/>
      <c r="E447" s="97"/>
      <c r="F447" s="97"/>
      <c r="G447" s="97"/>
      <c r="H447" s="97"/>
      <c r="I447" s="97"/>
      <c r="J447" s="97"/>
      <c r="K447" s="97"/>
      <c r="L447" s="97"/>
      <c r="M447" s="97"/>
      <c r="N447" s="97"/>
      <c r="O447" s="97"/>
    </row>
    <row r="448" spans="1:20" x14ac:dyDescent="0.2">
      <c r="A448" s="157"/>
      <c r="B448" s="97"/>
      <c r="C448" s="97"/>
      <c r="D448" s="97"/>
      <c r="E448" s="97"/>
      <c r="F448" s="97"/>
      <c r="G448" s="97"/>
      <c r="H448" s="97"/>
      <c r="I448" s="97"/>
      <c r="J448" s="97"/>
      <c r="K448" s="97"/>
      <c r="L448" s="97"/>
      <c r="M448" s="97"/>
      <c r="N448" s="97"/>
      <c r="O448" s="97"/>
      <c r="P448" s="101"/>
    </row>
    <row r="449" spans="1:16" x14ac:dyDescent="0.2">
      <c r="A449" s="157"/>
      <c r="B449" s="97"/>
      <c r="C449" s="97"/>
      <c r="D449" s="97"/>
      <c r="E449" s="97"/>
      <c r="F449" s="97"/>
      <c r="G449" s="97"/>
      <c r="H449" s="97"/>
      <c r="I449" s="97"/>
      <c r="J449" s="97"/>
      <c r="K449" s="97"/>
      <c r="L449" s="97"/>
      <c r="M449" s="97"/>
      <c r="N449" s="97"/>
      <c r="O449" s="97"/>
      <c r="P449" s="101"/>
    </row>
    <row r="450" spans="1:16" x14ac:dyDescent="0.2">
      <c r="A450" s="157"/>
      <c r="B450" s="97"/>
      <c r="C450" s="97"/>
      <c r="D450" s="97"/>
      <c r="E450" s="97"/>
      <c r="F450" s="97"/>
      <c r="G450" s="97"/>
      <c r="H450" s="97"/>
      <c r="I450" s="97"/>
      <c r="J450" s="97"/>
      <c r="K450" s="97"/>
      <c r="L450" s="97"/>
      <c r="M450" s="97"/>
      <c r="N450" s="97"/>
      <c r="O450" s="97"/>
      <c r="P450" s="101"/>
    </row>
    <row r="451" spans="1:16" x14ac:dyDescent="0.2">
      <c r="A451" s="157"/>
      <c r="B451" s="97"/>
      <c r="C451" s="97"/>
      <c r="D451" s="97"/>
      <c r="E451" s="97"/>
      <c r="F451" s="97"/>
      <c r="G451" s="97"/>
      <c r="H451" s="97"/>
      <c r="I451" s="97"/>
      <c r="J451" s="97"/>
      <c r="K451" s="97"/>
      <c r="L451" s="97"/>
      <c r="M451" s="97"/>
      <c r="N451" s="97"/>
      <c r="O451" s="97"/>
      <c r="P451" s="101"/>
    </row>
    <row r="452" spans="1:16" x14ac:dyDescent="0.2">
      <c r="A452" s="157"/>
      <c r="B452" s="97"/>
      <c r="C452" s="97"/>
      <c r="D452" s="97"/>
      <c r="E452" s="97"/>
      <c r="F452" s="97"/>
      <c r="G452" s="97"/>
      <c r="H452" s="97"/>
      <c r="I452" s="97"/>
      <c r="J452" s="97"/>
      <c r="K452" s="97"/>
      <c r="L452" s="97"/>
      <c r="M452" s="97"/>
      <c r="N452" s="97"/>
      <c r="O452" s="97"/>
      <c r="P452" s="101"/>
    </row>
    <row r="453" spans="1:16" x14ac:dyDescent="0.2">
      <c r="A453" s="157"/>
      <c r="B453" s="97"/>
      <c r="C453" s="97"/>
      <c r="D453" s="97"/>
      <c r="E453" s="97"/>
      <c r="F453" s="97"/>
      <c r="G453" s="97"/>
      <c r="H453" s="97"/>
      <c r="I453" s="97"/>
      <c r="J453" s="97"/>
      <c r="K453" s="97"/>
      <c r="L453" s="97"/>
      <c r="M453" s="97"/>
      <c r="N453" s="97"/>
      <c r="O453" s="97"/>
      <c r="P453" s="101"/>
    </row>
    <row r="454" spans="1:16" x14ac:dyDescent="0.2">
      <c r="A454" s="157"/>
      <c r="B454" s="97"/>
      <c r="C454" s="97"/>
      <c r="D454" s="97"/>
      <c r="E454" s="97"/>
      <c r="F454" s="97"/>
      <c r="G454" s="97"/>
      <c r="H454" s="97"/>
      <c r="I454" s="97"/>
      <c r="J454" s="97"/>
      <c r="K454" s="97"/>
      <c r="L454" s="97"/>
      <c r="M454" s="97"/>
      <c r="N454" s="97"/>
      <c r="O454" s="97"/>
      <c r="P454" s="101"/>
    </row>
    <row r="455" spans="1:16" x14ac:dyDescent="0.2">
      <c r="A455" s="157"/>
      <c r="B455" s="97"/>
      <c r="C455" s="97"/>
      <c r="D455" s="97"/>
      <c r="E455" s="97"/>
      <c r="F455" s="97"/>
      <c r="G455" s="97"/>
      <c r="H455" s="97"/>
      <c r="I455" s="97"/>
      <c r="J455" s="97"/>
      <c r="K455" s="97"/>
      <c r="L455" s="97"/>
      <c r="M455" s="97"/>
      <c r="N455" s="97"/>
      <c r="O455" s="97"/>
      <c r="P455" s="101"/>
    </row>
    <row r="456" spans="1:16" x14ac:dyDescent="0.2">
      <c r="A456" s="157"/>
      <c r="B456" s="97"/>
      <c r="C456" s="97"/>
      <c r="D456" s="97"/>
      <c r="E456" s="97"/>
      <c r="F456" s="97"/>
      <c r="G456" s="97"/>
      <c r="H456" s="97"/>
      <c r="I456" s="97"/>
      <c r="J456" s="97"/>
      <c r="K456" s="97"/>
      <c r="L456" s="97"/>
      <c r="M456" s="97"/>
      <c r="N456" s="97"/>
      <c r="O456" s="97"/>
      <c r="P456" s="101"/>
    </row>
    <row r="457" spans="1:16" x14ac:dyDescent="0.2">
      <c r="A457" s="157"/>
      <c r="B457" s="97"/>
      <c r="C457" s="97"/>
      <c r="D457" s="97"/>
      <c r="E457" s="97"/>
      <c r="F457" s="97"/>
      <c r="G457" s="97"/>
      <c r="H457" s="97"/>
      <c r="I457" s="97"/>
      <c r="J457" s="97"/>
      <c r="K457" s="97"/>
      <c r="L457" s="97"/>
      <c r="M457" s="97"/>
      <c r="N457" s="97"/>
      <c r="O457" s="97"/>
      <c r="P457" s="101"/>
    </row>
    <row r="458" spans="1:16" x14ac:dyDescent="0.2">
      <c r="A458" s="157"/>
      <c r="B458" s="97"/>
      <c r="C458" s="97"/>
      <c r="D458" s="97"/>
      <c r="E458" s="97"/>
      <c r="F458" s="97"/>
      <c r="G458" s="97"/>
      <c r="H458" s="97"/>
      <c r="I458" s="97"/>
      <c r="J458" s="97"/>
      <c r="K458" s="97"/>
      <c r="L458" s="97"/>
      <c r="M458" s="97"/>
      <c r="N458" s="97"/>
      <c r="O458" s="97"/>
    </row>
    <row r="459" spans="1:16" x14ac:dyDescent="0.2">
      <c r="A459" s="157"/>
      <c r="B459" s="97"/>
      <c r="C459" s="97"/>
      <c r="D459" s="97"/>
      <c r="E459" s="97"/>
      <c r="F459" s="97"/>
      <c r="G459" s="97"/>
      <c r="H459" s="97"/>
      <c r="I459" s="97"/>
      <c r="J459" s="97"/>
      <c r="K459" s="97"/>
      <c r="L459" s="97"/>
      <c r="M459" s="97"/>
      <c r="N459" s="97"/>
      <c r="O459" s="97"/>
    </row>
    <row r="460" spans="1:16" x14ac:dyDescent="0.2">
      <c r="A460" s="157"/>
      <c r="B460" s="97"/>
      <c r="C460" s="97"/>
      <c r="D460" s="97"/>
      <c r="E460" s="97"/>
      <c r="F460" s="97"/>
      <c r="G460" s="97"/>
      <c r="H460" s="97"/>
      <c r="I460" s="97"/>
      <c r="J460" s="97"/>
      <c r="K460" s="97"/>
      <c r="L460" s="97"/>
      <c r="M460" s="97"/>
      <c r="N460" s="97"/>
      <c r="O460" s="97"/>
    </row>
    <row r="461" spans="1:16" x14ac:dyDescent="0.2">
      <c r="A461" s="157"/>
      <c r="B461" s="97"/>
      <c r="C461" s="97"/>
      <c r="D461" s="97"/>
      <c r="E461" s="97"/>
      <c r="F461" s="97"/>
      <c r="G461" s="97"/>
      <c r="H461" s="97"/>
      <c r="I461" s="97"/>
      <c r="J461" s="97"/>
      <c r="K461" s="97"/>
      <c r="L461" s="97"/>
      <c r="M461" s="97"/>
      <c r="N461" s="97"/>
      <c r="O461" s="97"/>
    </row>
    <row r="462" spans="1:16" x14ac:dyDescent="0.2">
      <c r="A462" s="157"/>
      <c r="B462" s="97"/>
      <c r="C462" s="97"/>
      <c r="D462" s="97"/>
      <c r="E462" s="97"/>
      <c r="F462" s="97"/>
      <c r="G462" s="97"/>
      <c r="H462" s="97"/>
      <c r="I462" s="97"/>
      <c r="J462" s="97"/>
      <c r="K462" s="97"/>
      <c r="L462" s="97"/>
      <c r="M462" s="97"/>
      <c r="N462" s="97"/>
      <c r="O462" s="97"/>
    </row>
    <row r="463" spans="1:16" x14ac:dyDescent="0.2">
      <c r="A463" s="157"/>
      <c r="B463" s="97"/>
      <c r="C463" s="97"/>
      <c r="D463" s="97"/>
      <c r="E463" s="97"/>
      <c r="F463" s="97"/>
      <c r="G463" s="97"/>
      <c r="H463" s="97"/>
      <c r="I463" s="97"/>
      <c r="J463" s="97"/>
      <c r="K463" s="97"/>
      <c r="L463" s="97"/>
      <c r="M463" s="97"/>
      <c r="N463" s="97"/>
      <c r="O463" s="97"/>
    </row>
    <row r="464" spans="1:16" x14ac:dyDescent="0.2">
      <c r="A464" s="157"/>
      <c r="B464" s="97"/>
      <c r="C464" s="97"/>
      <c r="D464" s="97"/>
      <c r="E464" s="97"/>
      <c r="F464" s="97"/>
      <c r="G464" s="97"/>
      <c r="H464" s="97"/>
      <c r="I464" s="97"/>
      <c r="J464" s="97"/>
      <c r="K464" s="97"/>
      <c r="L464" s="97"/>
      <c r="M464" s="97"/>
      <c r="N464" s="97"/>
      <c r="O464" s="97"/>
    </row>
    <row r="465" spans="1:15" x14ac:dyDescent="0.2">
      <c r="A465" s="157"/>
      <c r="B465" s="97"/>
      <c r="C465" s="97"/>
      <c r="D465" s="97"/>
      <c r="E465" s="97"/>
      <c r="F465" s="97"/>
      <c r="G465" s="97"/>
      <c r="H465" s="97"/>
      <c r="I465" s="97"/>
      <c r="J465" s="97"/>
      <c r="K465" s="97"/>
      <c r="L465" s="97"/>
      <c r="M465" s="97"/>
      <c r="N465" s="97"/>
      <c r="O465" s="97"/>
    </row>
    <row r="466" spans="1:15" x14ac:dyDescent="0.2">
      <c r="A466" s="157"/>
      <c r="B466" s="97"/>
      <c r="C466" s="97"/>
      <c r="D466" s="97"/>
      <c r="E466" s="97"/>
      <c r="F466" s="97"/>
      <c r="G466" s="97"/>
      <c r="H466" s="97"/>
      <c r="I466" s="97"/>
      <c r="J466" s="97"/>
      <c r="K466" s="97"/>
      <c r="L466" s="97"/>
      <c r="M466" s="97"/>
      <c r="N466" s="97"/>
      <c r="O466" s="97"/>
    </row>
    <row r="467" spans="1:15" x14ac:dyDescent="0.2">
      <c r="A467" s="157"/>
      <c r="B467" s="97"/>
      <c r="C467" s="97"/>
      <c r="D467" s="97"/>
      <c r="E467" s="97"/>
      <c r="F467" s="97"/>
      <c r="G467" s="97"/>
      <c r="H467" s="97"/>
      <c r="I467" s="97"/>
      <c r="J467" s="97"/>
      <c r="K467" s="97"/>
      <c r="L467" s="97"/>
      <c r="M467" s="97"/>
      <c r="N467" s="97"/>
      <c r="O467" s="97"/>
    </row>
    <row r="468" spans="1:15" x14ac:dyDescent="0.2">
      <c r="A468" s="157"/>
      <c r="B468" s="97"/>
      <c r="C468" s="97"/>
      <c r="D468" s="97"/>
      <c r="E468" s="97"/>
      <c r="F468" s="97"/>
      <c r="G468" s="97"/>
      <c r="H468" s="97"/>
      <c r="I468" s="97"/>
      <c r="J468" s="97"/>
      <c r="K468" s="97"/>
      <c r="L468" s="97"/>
      <c r="M468" s="97"/>
      <c r="N468" s="97"/>
      <c r="O468" s="97"/>
    </row>
    <row r="469" spans="1:15" x14ac:dyDescent="0.2">
      <c r="A469" s="157"/>
      <c r="B469" s="97"/>
      <c r="C469" s="97"/>
      <c r="D469" s="97"/>
      <c r="E469" s="97"/>
      <c r="F469" s="97"/>
      <c r="G469" s="97"/>
      <c r="H469" s="97"/>
      <c r="I469" s="97"/>
      <c r="J469" s="97"/>
      <c r="K469" s="97"/>
      <c r="L469" s="97"/>
      <c r="M469" s="97"/>
      <c r="N469" s="97"/>
      <c r="O469" s="97"/>
    </row>
    <row r="470" spans="1:15" x14ac:dyDescent="0.2">
      <c r="A470" s="157"/>
      <c r="B470" s="97"/>
      <c r="C470" s="97"/>
      <c r="D470" s="97"/>
      <c r="E470" s="97"/>
      <c r="F470" s="97"/>
      <c r="G470" s="97"/>
      <c r="H470" s="97"/>
      <c r="I470" s="97"/>
      <c r="J470" s="97"/>
      <c r="K470" s="97"/>
      <c r="L470" s="97"/>
      <c r="M470" s="97"/>
      <c r="N470" s="97"/>
      <c r="O470" s="97"/>
    </row>
    <row r="471" spans="1:15" x14ac:dyDescent="0.2">
      <c r="A471" s="157"/>
      <c r="B471" s="97"/>
      <c r="C471" s="97"/>
      <c r="D471" s="97"/>
      <c r="E471" s="97"/>
      <c r="F471" s="97"/>
      <c r="G471" s="97"/>
      <c r="H471" s="97"/>
      <c r="I471" s="97"/>
      <c r="J471" s="97"/>
      <c r="K471" s="97"/>
      <c r="L471" s="97"/>
      <c r="M471" s="97"/>
      <c r="N471" s="97"/>
      <c r="O471" s="97"/>
    </row>
    <row r="472" spans="1:15" x14ac:dyDescent="0.2">
      <c r="A472" s="157"/>
      <c r="B472" s="97"/>
      <c r="C472" s="97"/>
      <c r="D472" s="97"/>
      <c r="E472" s="97"/>
      <c r="F472" s="97"/>
      <c r="G472" s="97"/>
      <c r="H472" s="97"/>
      <c r="I472" s="97"/>
      <c r="J472" s="97"/>
      <c r="K472" s="97"/>
      <c r="L472" s="97"/>
      <c r="M472" s="97"/>
      <c r="N472" s="97"/>
      <c r="O472" s="97"/>
    </row>
    <row r="473" spans="1:15" x14ac:dyDescent="0.2">
      <c r="A473" s="157"/>
      <c r="B473" s="97"/>
      <c r="C473" s="97"/>
      <c r="D473" s="97"/>
      <c r="E473" s="97"/>
      <c r="F473" s="97"/>
      <c r="G473" s="97"/>
      <c r="H473" s="97"/>
      <c r="I473" s="97"/>
      <c r="J473" s="97"/>
      <c r="K473" s="97"/>
      <c r="L473" s="97"/>
      <c r="M473" s="97"/>
      <c r="N473" s="97"/>
      <c r="O473" s="97"/>
    </row>
    <row r="474" spans="1:15" x14ac:dyDescent="0.2">
      <c r="A474" s="157"/>
      <c r="B474" s="97"/>
      <c r="C474" s="97"/>
      <c r="D474" s="97"/>
      <c r="E474" s="97"/>
      <c r="F474" s="97"/>
      <c r="G474" s="97"/>
      <c r="H474" s="97"/>
      <c r="I474" s="97"/>
      <c r="J474" s="97"/>
      <c r="K474" s="97"/>
      <c r="L474" s="97"/>
      <c r="M474" s="97"/>
      <c r="N474" s="97"/>
      <c r="O474" s="97"/>
    </row>
    <row r="475" spans="1:15" x14ac:dyDescent="0.2">
      <c r="A475" s="157"/>
      <c r="B475" s="97"/>
      <c r="C475" s="97"/>
      <c r="D475" s="97"/>
      <c r="E475" s="97"/>
      <c r="F475" s="97"/>
      <c r="G475" s="97"/>
      <c r="H475" s="97"/>
      <c r="I475" s="97"/>
      <c r="J475" s="97"/>
      <c r="K475" s="97"/>
      <c r="L475" s="97"/>
      <c r="M475" s="97"/>
      <c r="N475" s="97"/>
      <c r="O475" s="97"/>
    </row>
    <row r="476" spans="1:15" x14ac:dyDescent="0.2">
      <c r="A476" s="157"/>
      <c r="B476" s="97"/>
      <c r="C476" s="97"/>
      <c r="D476" s="97"/>
      <c r="E476" s="97"/>
      <c r="F476" s="97"/>
      <c r="G476" s="97"/>
      <c r="H476" s="97"/>
      <c r="I476" s="97"/>
      <c r="J476" s="97"/>
      <c r="K476" s="97"/>
      <c r="L476" s="97"/>
      <c r="M476" s="97"/>
      <c r="N476" s="97"/>
      <c r="O476" s="97"/>
    </row>
    <row r="477" spans="1:15" x14ac:dyDescent="0.2">
      <c r="A477" s="157"/>
      <c r="B477" s="97"/>
      <c r="C477" s="97"/>
      <c r="D477" s="97"/>
      <c r="E477" s="97"/>
      <c r="F477" s="97"/>
      <c r="G477" s="97"/>
      <c r="H477" s="97"/>
      <c r="I477" s="97"/>
      <c r="J477" s="97"/>
      <c r="K477" s="97"/>
      <c r="L477" s="97"/>
      <c r="M477" s="97"/>
      <c r="N477" s="97"/>
      <c r="O477" s="97"/>
    </row>
    <row r="478" spans="1:15" x14ac:dyDescent="0.2">
      <c r="A478" s="157"/>
      <c r="B478" s="97"/>
      <c r="C478" s="97"/>
      <c r="D478" s="97"/>
      <c r="E478" s="97"/>
      <c r="F478" s="97"/>
      <c r="G478" s="97"/>
      <c r="H478" s="97"/>
      <c r="I478" s="97"/>
      <c r="J478" s="97"/>
      <c r="K478" s="97"/>
      <c r="L478" s="97"/>
      <c r="M478" s="97"/>
      <c r="N478" s="97"/>
      <c r="O478" s="97"/>
    </row>
    <row r="479" spans="1:15" x14ac:dyDescent="0.2">
      <c r="A479" s="157"/>
      <c r="B479" s="97"/>
      <c r="C479" s="97"/>
      <c r="D479" s="97"/>
      <c r="E479" s="97"/>
      <c r="F479" s="97"/>
      <c r="G479" s="97"/>
      <c r="H479" s="97"/>
      <c r="I479" s="97"/>
      <c r="J479" s="97"/>
      <c r="K479" s="97"/>
      <c r="L479" s="97"/>
      <c r="M479" s="97"/>
      <c r="N479" s="97"/>
      <c r="O479" s="97"/>
    </row>
    <row r="480" spans="1:15" x14ac:dyDescent="0.2">
      <c r="A480" s="157"/>
      <c r="B480" s="97"/>
      <c r="C480" s="97"/>
      <c r="D480" s="97"/>
      <c r="E480" s="97"/>
      <c r="F480" s="97"/>
      <c r="G480" s="97"/>
      <c r="H480" s="97"/>
      <c r="I480" s="97"/>
      <c r="J480" s="97"/>
      <c r="K480" s="97"/>
      <c r="L480" s="97"/>
      <c r="M480" s="97"/>
      <c r="N480" s="97"/>
      <c r="O480" s="97"/>
    </row>
    <row r="481" spans="1:15" x14ac:dyDescent="0.2">
      <c r="A481" s="157"/>
      <c r="B481" s="97"/>
      <c r="C481" s="97"/>
      <c r="D481" s="97"/>
      <c r="E481" s="97"/>
      <c r="F481" s="97"/>
      <c r="G481" s="97"/>
      <c r="H481" s="97"/>
      <c r="I481" s="97"/>
      <c r="J481" s="97"/>
      <c r="K481" s="97"/>
      <c r="L481" s="97"/>
      <c r="M481" s="97"/>
      <c r="N481" s="97"/>
      <c r="O481" s="97"/>
    </row>
    <row r="482" spans="1:15" x14ac:dyDescent="0.2">
      <c r="A482" s="157"/>
      <c r="B482" s="97"/>
      <c r="C482" s="97"/>
      <c r="D482" s="97"/>
      <c r="E482" s="97"/>
      <c r="F482" s="97"/>
      <c r="G482" s="97"/>
      <c r="H482" s="97"/>
      <c r="I482" s="97"/>
      <c r="J482" s="97"/>
      <c r="K482" s="97"/>
      <c r="L482" s="97"/>
      <c r="M482" s="97"/>
      <c r="N482" s="97"/>
      <c r="O482" s="97"/>
    </row>
    <row r="483" spans="1:15" x14ac:dyDescent="0.2">
      <c r="A483" s="157"/>
      <c r="B483" s="97"/>
      <c r="C483" s="97"/>
      <c r="D483" s="97"/>
      <c r="E483" s="97"/>
      <c r="F483" s="97"/>
      <c r="G483" s="97"/>
      <c r="H483" s="97"/>
      <c r="I483" s="97"/>
      <c r="J483" s="97"/>
      <c r="K483" s="97"/>
      <c r="L483" s="97"/>
      <c r="M483" s="97"/>
      <c r="N483" s="97"/>
      <c r="O483" s="97"/>
    </row>
    <row r="484" spans="1:15" x14ac:dyDescent="0.2">
      <c r="A484" s="157"/>
      <c r="B484" s="97"/>
      <c r="C484" s="97"/>
      <c r="D484" s="97"/>
      <c r="E484" s="97"/>
      <c r="F484" s="97"/>
      <c r="G484" s="97"/>
      <c r="H484" s="97"/>
      <c r="I484" s="97"/>
      <c r="J484" s="97"/>
      <c r="K484" s="97"/>
      <c r="L484" s="97"/>
      <c r="M484" s="97"/>
      <c r="N484" s="97"/>
      <c r="O484" s="97"/>
    </row>
    <row r="485" spans="1:15" x14ac:dyDescent="0.2">
      <c r="A485" s="157"/>
      <c r="B485" s="97"/>
      <c r="C485" s="97"/>
      <c r="D485" s="97"/>
      <c r="E485" s="97"/>
      <c r="F485" s="97"/>
      <c r="G485" s="97"/>
      <c r="H485" s="97"/>
      <c r="I485" s="97"/>
      <c r="J485" s="97"/>
      <c r="K485" s="97"/>
      <c r="L485" s="97"/>
      <c r="M485" s="97"/>
      <c r="N485" s="97"/>
      <c r="O485" s="97"/>
    </row>
    <row r="486" spans="1:15" x14ac:dyDescent="0.2">
      <c r="A486" s="157"/>
      <c r="B486" s="97"/>
      <c r="C486" s="97"/>
      <c r="D486" s="97"/>
      <c r="E486" s="97"/>
      <c r="F486" s="97"/>
      <c r="G486" s="97"/>
      <c r="H486" s="97"/>
      <c r="I486" s="97"/>
      <c r="J486" s="97"/>
      <c r="K486" s="97"/>
      <c r="L486" s="97"/>
      <c r="M486" s="97"/>
      <c r="N486" s="97"/>
      <c r="O486" s="97"/>
    </row>
    <row r="487" spans="1:15" x14ac:dyDescent="0.2">
      <c r="A487" s="157"/>
      <c r="B487" s="97"/>
      <c r="C487" s="97"/>
      <c r="D487" s="97"/>
      <c r="E487" s="97"/>
      <c r="F487" s="97"/>
      <c r="G487" s="97"/>
      <c r="H487" s="97"/>
      <c r="I487" s="97"/>
      <c r="J487" s="97"/>
      <c r="K487" s="97"/>
      <c r="L487" s="97"/>
      <c r="M487" s="97"/>
      <c r="N487" s="97"/>
      <c r="O487" s="97"/>
    </row>
    <row r="488" spans="1:15" x14ac:dyDescent="0.2">
      <c r="A488" s="157"/>
      <c r="B488" s="97"/>
      <c r="C488" s="97"/>
      <c r="D488" s="97"/>
      <c r="E488" s="97"/>
      <c r="F488" s="97"/>
      <c r="G488" s="97"/>
      <c r="H488" s="97"/>
      <c r="I488" s="97"/>
      <c r="J488" s="97"/>
      <c r="K488" s="97"/>
      <c r="L488" s="97"/>
      <c r="M488" s="97"/>
      <c r="N488" s="97"/>
      <c r="O488" s="97"/>
    </row>
    <row r="489" spans="1:15" x14ac:dyDescent="0.2">
      <c r="A489" s="157"/>
      <c r="B489" s="97"/>
      <c r="C489" s="97"/>
      <c r="D489" s="97"/>
      <c r="E489" s="97"/>
      <c r="F489" s="97"/>
      <c r="G489" s="97"/>
      <c r="H489" s="97"/>
      <c r="I489" s="97"/>
      <c r="J489" s="97"/>
      <c r="K489" s="97"/>
      <c r="L489" s="97"/>
      <c r="M489" s="97"/>
      <c r="N489" s="97"/>
      <c r="O489" s="97"/>
    </row>
    <row r="490" spans="1:15" x14ac:dyDescent="0.2">
      <c r="A490" s="157"/>
      <c r="B490" s="97"/>
      <c r="C490" s="97"/>
      <c r="D490" s="97"/>
      <c r="E490" s="97"/>
      <c r="F490" s="97"/>
      <c r="G490" s="97"/>
      <c r="H490" s="97"/>
      <c r="I490" s="97"/>
      <c r="J490" s="97"/>
      <c r="K490" s="97"/>
      <c r="L490" s="97"/>
      <c r="M490" s="97"/>
      <c r="N490" s="97"/>
      <c r="O490" s="97"/>
    </row>
    <row r="491" spans="1:15" x14ac:dyDescent="0.2">
      <c r="A491" s="157"/>
      <c r="B491" s="97"/>
      <c r="C491" s="97"/>
      <c r="D491" s="97"/>
      <c r="E491" s="97"/>
      <c r="F491" s="97"/>
      <c r="G491" s="97"/>
      <c r="H491" s="97"/>
      <c r="I491" s="97"/>
      <c r="J491" s="97"/>
      <c r="K491" s="97"/>
      <c r="L491" s="97"/>
      <c r="M491" s="97"/>
      <c r="N491" s="97"/>
      <c r="O491" s="97"/>
    </row>
    <row r="492" spans="1:15" x14ac:dyDescent="0.2">
      <c r="A492" s="157"/>
      <c r="B492" s="97"/>
      <c r="C492" s="97"/>
      <c r="D492" s="97"/>
      <c r="E492" s="97"/>
      <c r="F492" s="97"/>
      <c r="G492" s="97"/>
      <c r="H492" s="97"/>
      <c r="I492" s="97"/>
      <c r="J492" s="97"/>
      <c r="K492" s="97"/>
      <c r="L492" s="97"/>
      <c r="M492" s="97"/>
      <c r="N492" s="97"/>
      <c r="O492" s="97"/>
    </row>
    <row r="493" spans="1:15" x14ac:dyDescent="0.2">
      <c r="A493" s="157"/>
      <c r="B493" s="97"/>
      <c r="C493" s="97"/>
      <c r="D493" s="97"/>
      <c r="E493" s="97"/>
      <c r="F493" s="97"/>
      <c r="G493" s="97"/>
      <c r="H493" s="97"/>
      <c r="I493" s="97"/>
      <c r="J493" s="97"/>
      <c r="K493" s="97"/>
      <c r="L493" s="97"/>
      <c r="M493" s="97"/>
      <c r="N493" s="97"/>
      <c r="O493" s="97"/>
    </row>
    <row r="494" spans="1:15" x14ac:dyDescent="0.2">
      <c r="A494" s="157"/>
      <c r="B494" s="97"/>
      <c r="C494" s="97"/>
      <c r="D494" s="97"/>
      <c r="E494" s="97"/>
      <c r="F494" s="97"/>
      <c r="G494" s="97"/>
      <c r="H494" s="97"/>
      <c r="I494" s="97"/>
      <c r="J494" s="97"/>
      <c r="K494" s="97"/>
      <c r="L494" s="97"/>
      <c r="M494" s="97"/>
      <c r="N494" s="97"/>
      <c r="O494" s="97"/>
    </row>
  </sheetData>
  <pageMargins left="0.75" right="0.75" top="1" bottom="1" header="0.5" footer="0.5"/>
  <pageSetup orientation="portrait" r:id="rId1"/>
  <headerFooter alignWithMargins="0"/>
  <ignoredErrors>
    <ignoredError sqref="I378:N378" formula="1"/>
    <ignoredError sqref="B378:C378" formulaRange="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10</vt:i4>
      </vt:variant>
    </vt:vector>
  </HeadingPairs>
  <TitlesOfParts>
    <vt:vector size="21" baseType="lpstr">
      <vt:lpstr>Contents</vt:lpstr>
      <vt:lpstr>Table14</vt:lpstr>
      <vt:lpstr>Table15</vt:lpstr>
      <vt:lpstr>Table16</vt:lpstr>
      <vt:lpstr>Table17</vt:lpstr>
      <vt:lpstr>Table18</vt:lpstr>
      <vt:lpstr>Table19</vt:lpstr>
      <vt:lpstr>Table20a</vt:lpstr>
      <vt:lpstr>Table20b</vt:lpstr>
      <vt:lpstr>Table21</vt:lpstr>
      <vt:lpstr>Table22</vt:lpstr>
      <vt:lpstr>Table14!Print_Area</vt:lpstr>
      <vt:lpstr>Table15!Print_Area</vt:lpstr>
      <vt:lpstr>Table16!Print_Area</vt:lpstr>
      <vt:lpstr>Table17!Print_Area</vt:lpstr>
      <vt:lpstr>Table18!Print_Area</vt:lpstr>
      <vt:lpstr>Table19!Print_Area</vt:lpstr>
      <vt:lpstr>Table22!Print_Area</vt:lpstr>
      <vt:lpstr>Table14!Print_Titles</vt:lpstr>
      <vt:lpstr>Table15!Print_Titles</vt:lpstr>
      <vt:lpstr>Table18!Print_Titles</vt:lpstr>
    </vt:vector>
  </TitlesOfParts>
  <Company>USDA, Economic Research Service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U.S. sugar crop production and sugar production, deliveries, and stocks</dc:title>
  <dc:subject>Agricultural Economics</dc:subject>
  <dc:creator>Vidalina Abadam</dc:creator>
  <cp:keywords>sugarbeets, sugarcane, production, area, yield, cane sugar, beet sugar, deliveries, sugar end-user deliveries, exports, sugar stocks, Sweetener Market Data</cp:keywords>
  <cp:lastModifiedBy>Abadam, Vidalina - REE-ERS</cp:lastModifiedBy>
  <dcterms:created xsi:type="dcterms:W3CDTF">2015-06-05T18:17:20Z</dcterms:created>
  <dcterms:modified xsi:type="dcterms:W3CDTF">2025-01-17T15:05:36Z</dcterms:modified>
</cp:coreProperties>
</file>